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9E"/>
  <workbookPr codeName="ThisWorkbook"/>
  <bookViews>
    <workbookView xWindow="15000" yWindow="15" windowWidth="13320" windowHeight="13170" activeTab="1"/>
  </bookViews>
  <sheets>
    <sheet name="Instructions" sheetId="1" r:id="rId1"/>
    <sheet name="Summary" sheetId="2" r:id="rId2"/>
    <sheet name="Pivot" sheetId="3" r:id="rId3"/>
    <sheet name="Transactions" sheetId="4" r:id="rId4"/>
  </sheets>
  <externalReferences>
    <externalReference r:id="rId8"/>
  </externalReferences>
  <definedNames>
    <definedName name="AS1_1999" localSheetId="3">'Transactions'!$C$19:$J$26</definedName>
    <definedName name="AS1_1999">#REF!</definedName>
    <definedName name="Avg_Annual_FERC_Rate">#REF!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1">'Summary'!$C$1:$I$40</definedName>
    <definedName name="_xlnm.Print_Area" localSheetId="3">'Transactions'!$A$1:$R$211</definedName>
    <definedName name="_xlnm.Print_Titles" localSheetId="2">'Pivot'!$3:$4</definedName>
    <definedName name="_xlnm.Print_Titles" localSheetId="3">'Transactions'!$B:$E,'Transactions'!$1:$19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#REF!</definedName>
    <definedName name="texla">#REF!</definedName>
  </definedNames>
  <calcPr fullCalcOnLoad="1"/>
  <pivotCaches>
    <pivotCache cacheId="4" r:id="rId5"/>
  </pivotCaches>
</workbook>
</file>

<file path=xl/comments4.xml><?xml version="1.0" encoding="utf-8"?>
<comments xmlns="http://schemas.openxmlformats.org/spreadsheetml/2006/main">
  <authors>
    <author>rlp</author>
  </authors>
  <commentList>
    <comment ref="J2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True-Up ATRR and rate from current year's (t=0) update.
</t>
        </r>
      </text>
    </comment>
    <comment ref="J19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Actual Charge based on after the fact "True-Up" rate for entire prior CY.</t>
        </r>
      </text>
    </comment>
    <comment ref="K19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Amount charged during the Rate Year based on projected rates.</t>
        </r>
      </text>
    </comment>
    <comment ref="K2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ATRR and rate (rpojected) from prev year's template (t-1)</t>
        </r>
      </text>
    </comment>
    <comment ref="K3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ATRR and rate (rpojected) from prev year's template (t-1)</t>
        </r>
      </text>
    </comment>
  </commentList>
</comments>
</file>

<file path=xl/sharedStrings.xml><?xml version="1.0" encoding="utf-8"?>
<sst xmlns="http://schemas.openxmlformats.org/spreadsheetml/2006/main" count="421" uniqueCount="105">
  <si>
    <t>Customer</t>
  </si>
  <si>
    <t>MW</t>
  </si>
  <si>
    <t>Total True-up</t>
  </si>
  <si>
    <t>True-Up w/o Interest</t>
  </si>
  <si>
    <t>Billing
Date*</t>
  </si>
  <si>
    <t>Payment Received*</t>
  </si>
  <si>
    <t>Annual RR</t>
  </si>
  <si>
    <t>Interest</t>
  </si>
  <si>
    <t>OMPA</t>
  </si>
  <si>
    <t>WFEC</t>
  </si>
  <si>
    <t>Monthly Rate</t>
  </si>
  <si>
    <t>True-up Values:  Surcharge / (Refund)</t>
  </si>
  <si>
    <t>Sched.</t>
  </si>
  <si>
    <t>ETEC</t>
  </si>
  <si>
    <t>AECC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</si>
  <si>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</si>
  <si>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</si>
  <si>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</si>
  <si>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</si>
  <si>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</si>
  <si>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</si>
  <si>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</si>
  <si>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</si>
  <si>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</si>
  <si>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</si>
  <si>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</si>
  <si>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</si>
  <si>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</si>
  <si>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</si>
  <si>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</si>
  <si>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</si>
  <si>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</si>
  <si>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</si>
  <si>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</si>
  <si>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</si>
  <si>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</si>
  <si>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Network Customer True-Up (Schedule 9 charges)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</si>
  <si>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</si>
  <si>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</si>
  <si>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</si>
  <si>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</si>
  <si>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</si>
  <si>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</si>
  <si>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 xml:space="preserve">    Non-Affiliate
    Subtotals</t>
  </si>
  <si>
    <t>TOTALS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</si>
  <si>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</si>
  <si>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</si>
  <si>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</si>
  <si>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</si>
  <si>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</si>
  <si>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</si>
  <si>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</si>
  <si>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</si>
  <si>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</si>
  <si>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</si>
  <si>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</si>
  <si>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</si>
  <si>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</si>
  <si>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</si>
  <si>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</si>
  <si>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</si>
  <si>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</si>
  <si>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</si>
  <si>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Instructions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</si>
  <si>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</si>
  <si>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</si>
  <si>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</si>
  <si>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</si>
  <si>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</si>
  <si>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</si>
  <si>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</si>
  <si>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</si>
  <si>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</si>
  <si>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</si>
  <si>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</si>
  <si>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</si>
  <si>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</si>
  <si>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</si>
  <si>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</si>
  <si>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</si>
  <si>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</si>
  <si>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SWEPCO-Valley</t>
  </si>
  <si>
    <t>* SPP bills customer on third business day, AEP receives on 24th or next business day.</t>
  </si>
  <si>
    <t>AECI</t>
  </si>
  <si>
    <t>Tax Rebilling Rate</t>
  </si>
  <si>
    <t>Tax True Up Billing</t>
  </si>
  <si>
    <t>Tax True Up</t>
  </si>
  <si>
    <t>2018 True Up Including Interest</t>
  </si>
  <si>
    <t>Sum of Tax True Up Billing</t>
  </si>
  <si>
    <t>Total Sum of Tax True Up Billing</t>
  </si>
  <si>
    <t>Sum of Tax True Up</t>
  </si>
  <si>
    <t>Total Sum of Tax True Up</t>
  </si>
  <si>
    <t>(G) = (D) + (E) - (F)</t>
  </si>
  <si>
    <t>(G)</t>
  </si>
  <si>
    <t>January - December</t>
  </si>
  <si>
    <t>PUBLIC SERVICE COMPANY of OKLAHOMA &amp; SOUTHWESTERN ELECTRIC POWER</t>
  </si>
  <si>
    <t>(H)</t>
  </si>
  <si>
    <t xml:space="preserve"> (I) = (G) + (H)</t>
  </si>
  <si>
    <t>2017 ROE Refund</t>
  </si>
  <si>
    <t>Total NITS Surcharge / Refun</t>
  </si>
  <si>
    <r>
      <t>2018 True-Up
(</t>
    </r>
    <r>
      <rPr>
        <sz val="10"/>
        <rFont val="Arial"/>
        <family val="2"/>
      </rPr>
      <t>w/o Interest)</t>
    </r>
  </si>
  <si>
    <t>2018 Interest</t>
  </si>
  <si>
    <t>2018 Tax True Up</t>
  </si>
  <si>
    <t>Total 2018
True-Up Surcharge / (Refund)</t>
  </si>
  <si>
    <t>AEPTCo Formula Rate -- FERC Docket ER18-195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</si>
</sst>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%"/>
    <numFmt numFmtId="166" formatCode="_(&quot;$&quot;* #,##0_);_(&quot;$&quot;* \(#,##0\);_(&quot;$&quot;* &quot;-&quot;??_);_(@_)"/>
    <numFmt numFmtId="167" formatCode="_(* #,##0_);_(* \(#,##0\);_(* &quot;-&quot;??_);_(@_)"/>
    <numFmt numFmtId="168" formatCode="&quot;$&quot;#,##0"/>
    <numFmt numFmtId="169" formatCode="yyyy"/>
    <numFmt numFmtId="170" formatCode="mmm"/>
    <numFmt numFmtId="171" formatCode="0.0%"/>
    <numFmt numFmtId="172" formatCode="mmm\'yy"/>
    <numFmt numFmtId="173" formatCode="_(* #,##0.0_);_(* \(#,##0.0\);_(* &quot;-&quot;??_);_(@_)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$&quot;#,##0.0"/>
  </numFmts>
  <fonts count="5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8"/>
      <color rgb="FF0066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left"/>
    </xf>
    <xf numFmtId="164" fontId="0" fillId="0" borderId="0" xfId="0" applyNumberFormat="1" applyAlignment="1">
      <alignment horizontal="center"/>
    </xf>
    <xf numFmtId="10" fontId="0" fillId="0" borderId="0" xfId="60" applyNumberFormat="1" applyFont="1" applyAlignment="1">
      <alignment horizontal="center"/>
    </xf>
    <xf numFmtId="0" fontId="0" fillId="0" borderId="0" xfId="0" applyBorder="1" applyAlignment="1">
      <alignment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12" xfId="0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44" fontId="3" fillId="0" borderId="0" xfId="44" applyFont="1" applyAlignment="1">
      <alignment horizontal="center"/>
    </xf>
    <xf numFmtId="44" fontId="3" fillId="0" borderId="0" xfId="44" applyNumberFormat="1" applyFont="1" applyAlignment="1">
      <alignment horizontal="center"/>
    </xf>
    <xf numFmtId="0" fontId="0" fillId="0" borderId="0" xfId="0" applyFill="1" applyAlignment="1">
      <alignment/>
    </xf>
    <xf numFmtId="164" fontId="2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Font="1" applyAlignment="1">
      <alignment/>
    </xf>
    <xf numFmtId="0" fontId="0" fillId="0" borderId="14" xfId="0" applyBorder="1" applyAlignment="1">
      <alignment horizontal="center"/>
    </xf>
    <xf numFmtId="9" fontId="0" fillId="0" borderId="0" xfId="60" applyFont="1" applyAlignment="1">
      <alignment horizontal="center"/>
    </xf>
    <xf numFmtId="166" fontId="0" fillId="0" borderId="0" xfId="44" applyNumberFormat="1" applyFont="1" applyAlignment="1">
      <alignment horizontal="center"/>
    </xf>
    <xf numFmtId="0" fontId="0" fillId="0" borderId="15" xfId="0" applyBorder="1" applyAlignment="1">
      <alignment/>
    </xf>
    <xf numFmtId="14" fontId="0" fillId="0" borderId="0" xfId="0" applyNumberFormat="1" applyBorder="1" applyAlignment="1" quotePrefix="1">
      <alignment horizontal="left"/>
    </xf>
    <xf numFmtId="167" fontId="0" fillId="0" borderId="0" xfId="42" applyNumberFormat="1" applyFont="1" applyFill="1" applyAlignment="1">
      <alignment horizontal="right"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4" fontId="0" fillId="0" borderId="16" xfId="0" applyNumberFormat="1" applyFill="1" applyBorder="1" applyAlignment="1" quotePrefix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/>
    </xf>
    <xf numFmtId="167" fontId="0" fillId="0" borderId="0" xfId="42" applyNumberFormat="1" applyFont="1" applyFill="1" applyAlignment="1" quotePrefix="1">
      <alignment horizontal="left"/>
    </xf>
    <xf numFmtId="17" fontId="0" fillId="0" borderId="15" xfId="0" applyNumberFormat="1" applyBorder="1" applyAlignment="1">
      <alignment horizontal="center"/>
    </xf>
    <xf numFmtId="0" fontId="0" fillId="0" borderId="15" xfId="0" applyBorder="1" applyAlignment="1" quotePrefix="1">
      <alignment horizontal="left"/>
    </xf>
    <xf numFmtId="164" fontId="0" fillId="0" borderId="15" xfId="0" applyNumberFormat="1" applyFont="1" applyBorder="1" applyAlignment="1">
      <alignment horizontal="right"/>
    </xf>
    <xf numFmtId="164" fontId="0" fillId="0" borderId="15" xfId="0" applyNumberForma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2" fillId="0" borderId="17" xfId="0" applyNumberFormat="1" applyFont="1" applyBorder="1" applyAlignment="1" quotePrefix="1">
      <alignment horizontal="center" vertical="center" wrapText="1"/>
    </xf>
    <xf numFmtId="164" fontId="2" fillId="0" borderId="18" xfId="0" applyNumberFormat="1" applyFont="1" applyBorder="1" applyAlignment="1" quotePrefix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2" fillId="0" borderId="18" xfId="0" applyFont="1" applyBorder="1" applyAlignment="1" quotePrefix="1">
      <alignment horizontal="center" vertical="center"/>
    </xf>
    <xf numFmtId="44" fontId="3" fillId="0" borderId="12" xfId="44" applyFont="1" applyBorder="1" applyAlignment="1">
      <alignment horizontal="center"/>
    </xf>
    <xf numFmtId="0" fontId="0" fillId="0" borderId="0" xfId="0" applyFont="1" applyAlignment="1" quotePrefix="1">
      <alignment horizontal="left"/>
    </xf>
    <xf numFmtId="14" fontId="0" fillId="0" borderId="16" xfId="0" applyNumberFormat="1" applyFont="1" applyFill="1" applyBorder="1" applyAlignment="1" quotePrefix="1">
      <alignment horizontal="left"/>
    </xf>
    <xf numFmtId="0" fontId="6" fillId="33" borderId="0" xfId="0" applyFont="1" applyFill="1" applyBorder="1" applyAlignment="1">
      <alignment horizontal="left"/>
    </xf>
    <xf numFmtId="14" fontId="6" fillId="33" borderId="0" xfId="0" applyNumberFormat="1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left"/>
    </xf>
    <xf numFmtId="164" fontId="8" fillId="0" borderId="23" xfId="0" applyNumberFormat="1" applyFont="1" applyBorder="1" applyAlignment="1">
      <alignment horizontal="center" wrapText="1"/>
    </xf>
    <xf numFmtId="164" fontId="2" fillId="0" borderId="23" xfId="0" applyNumberFormat="1" applyFont="1" applyBorder="1" applyAlignment="1" quotePrefix="1">
      <alignment horizontal="center" wrapText="1"/>
    </xf>
    <xf numFmtId="168" fontId="0" fillId="0" borderId="18" xfId="0" applyNumberFormat="1" applyBorder="1" applyAlignment="1">
      <alignment horizontal="center"/>
    </xf>
    <xf numFmtId="168" fontId="0" fillId="0" borderId="19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168" fontId="0" fillId="34" borderId="24" xfId="0" applyNumberFormat="1" applyFill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7" fontId="0" fillId="0" borderId="25" xfId="0" applyNumberFormat="1" applyBorder="1" applyAlignment="1">
      <alignment horizontal="center"/>
    </xf>
    <xf numFmtId="14" fontId="6" fillId="33" borderId="25" xfId="0" applyNumberFormat="1" applyFont="1" applyFill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168" fontId="0" fillId="0" borderId="0" xfId="0" applyNumberFormat="1" applyFont="1" applyFill="1" applyBorder="1" applyAlignment="1">
      <alignment horizontal="right"/>
    </xf>
    <xf numFmtId="164" fontId="0" fillId="0" borderId="14" xfId="0" applyNumberFormat="1" applyFont="1" applyFill="1" applyBorder="1" applyAlignment="1">
      <alignment horizontal="right"/>
    </xf>
    <xf numFmtId="0" fontId="0" fillId="0" borderId="0" xfId="0" applyFont="1" applyAlignment="1" quotePrefix="1">
      <alignment horizontal="left"/>
    </xf>
    <xf numFmtId="166" fontId="0" fillId="0" borderId="0" xfId="44" applyNumberFormat="1" applyFont="1" applyBorder="1" applyAlignment="1">
      <alignment/>
    </xf>
    <xf numFmtId="0" fontId="0" fillId="0" borderId="20" xfId="0" applyBorder="1" applyAlignment="1">
      <alignment/>
    </xf>
    <xf numFmtId="166" fontId="0" fillId="0" borderId="16" xfId="44" applyNumberFormat="1" applyFont="1" applyBorder="1" applyAlignment="1">
      <alignment/>
    </xf>
    <xf numFmtId="166" fontId="0" fillId="0" borderId="26" xfId="44" applyNumberFormat="1" applyFont="1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 quotePrefix="1">
      <alignment horizontal="center" vertical="center" wrapText="1"/>
    </xf>
    <xf numFmtId="0" fontId="1" fillId="0" borderId="23" xfId="0" applyFont="1" applyBorder="1" applyAlignment="1" quotePrefix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168" fontId="0" fillId="0" borderId="15" xfId="0" applyNumberFormat="1" applyFont="1" applyFill="1" applyBorder="1" applyAlignment="1" quotePrefix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0" xfId="0" applyBorder="1" applyAlignment="1" quotePrefix="1">
      <alignment horizontal="left"/>
    </xf>
    <xf numFmtId="0" fontId="1" fillId="0" borderId="29" xfId="0" applyFont="1" applyBorder="1" applyAlignment="1">
      <alignment horizontal="center"/>
    </xf>
    <xf numFmtId="0" fontId="10" fillId="0" borderId="15" xfId="0" applyFont="1" applyFill="1" applyBorder="1" applyAlignment="1" quotePrefix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1" fillId="0" borderId="0" xfId="0" applyFont="1" applyFill="1" applyBorder="1" applyAlignment="1" quotePrefix="1">
      <alignment horizontal="left"/>
    </xf>
    <xf numFmtId="0" fontId="12" fillId="0" borderId="0" xfId="0" applyFont="1" applyBorder="1" applyAlignment="1" quotePrefix="1">
      <alignment horizontal="left" vertical="center"/>
    </xf>
    <xf numFmtId="0" fontId="12" fillId="0" borderId="29" xfId="0" applyFont="1" applyBorder="1" applyAlignment="1" quotePrefix="1">
      <alignment horizontal="left" vertical="center"/>
    </xf>
    <xf numFmtId="0" fontId="12" fillId="0" borderId="33" xfId="0" applyFont="1" applyBorder="1" applyAlignment="1" quotePrefix="1">
      <alignment horizontal="left" vertical="center"/>
    </xf>
    <xf numFmtId="0" fontId="12" fillId="0" borderId="20" xfId="0" applyFont="1" applyBorder="1" applyAlignment="1" quotePrefix="1">
      <alignment horizontal="left" vertical="center"/>
    </xf>
    <xf numFmtId="0" fontId="12" fillId="0" borderId="34" xfId="0" applyFont="1" applyBorder="1" applyAlignment="1" quotePrefix="1">
      <alignment horizontal="right"/>
    </xf>
    <xf numFmtId="0" fontId="13" fillId="0" borderId="14" xfId="0" applyFont="1" applyFill="1" applyBorder="1" applyAlignment="1" quotePrefix="1">
      <alignment horizontal="center" vertical="center"/>
    </xf>
    <xf numFmtId="0" fontId="12" fillId="0" borderId="14" xfId="0" applyFont="1" applyBorder="1" applyAlignment="1" quotePrefix="1">
      <alignment horizontal="left" vertical="center"/>
    </xf>
    <xf numFmtId="0" fontId="12" fillId="0" borderId="15" xfId="0" applyFont="1" applyBorder="1" applyAlignment="1" quotePrefix="1">
      <alignment horizontal="left" vertical="center"/>
    </xf>
    <xf numFmtId="0" fontId="0" fillId="0" borderId="12" xfId="0" applyBorder="1" applyAlignment="1" quotePrefix="1">
      <alignment horizontal="right"/>
    </xf>
    <xf numFmtId="0" fontId="0" fillId="0" borderId="12" xfId="0" applyBorder="1" applyAlignment="1">
      <alignment horizontal="center"/>
    </xf>
    <xf numFmtId="166" fontId="0" fillId="0" borderId="35" xfId="44" applyNumberFormat="1" applyFont="1" applyBorder="1" applyAlignment="1">
      <alignment vertical="center"/>
    </xf>
    <xf numFmtId="166" fontId="0" fillId="0" borderId="36" xfId="44" applyNumberFormat="1" applyFont="1" applyBorder="1" applyAlignment="1">
      <alignment vertical="center"/>
    </xf>
    <xf numFmtId="166" fontId="0" fillId="0" borderId="37" xfId="44" applyNumberFormat="1" applyFont="1" applyBorder="1" applyAlignment="1">
      <alignment vertical="center"/>
    </xf>
    <xf numFmtId="0" fontId="8" fillId="0" borderId="22" xfId="0" applyFont="1" applyBorder="1" applyAlignment="1" quotePrefix="1">
      <alignment horizontal="center" vertical="center" wrapText="1"/>
    </xf>
    <xf numFmtId="43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0" fontId="12" fillId="0" borderId="33" xfId="0" applyFont="1" applyBorder="1" applyAlignment="1" quotePrefix="1">
      <alignment horizontal="center"/>
    </xf>
    <xf numFmtId="14" fontId="0" fillId="0" borderId="25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0" fontId="2" fillId="0" borderId="18" xfId="0" applyFont="1" applyBorder="1" applyAlignment="1" quotePrefix="1">
      <alignment horizontal="center" vertical="center" wrapText="1"/>
    </xf>
    <xf numFmtId="164" fontId="3" fillId="0" borderId="0" xfId="0" applyNumberFormat="1" applyFont="1" applyBorder="1" applyAlignment="1">
      <alignment horizontal="center"/>
    </xf>
    <xf numFmtId="0" fontId="1" fillId="0" borderId="38" xfId="0" applyFont="1" applyBorder="1" applyAlignment="1" quotePrefix="1">
      <alignment horizontal="left" vertical="center" wrapText="1"/>
    </xf>
    <xf numFmtId="0" fontId="8" fillId="0" borderId="39" xfId="0" applyFont="1" applyFill="1" applyBorder="1" applyAlignment="1" quotePrefix="1">
      <alignment horizontal="left" vertical="center" wrapText="1"/>
    </xf>
    <xf numFmtId="166" fontId="0" fillId="0" borderId="17" xfId="44" applyNumberFormat="1" applyFont="1" applyFill="1" applyBorder="1" applyAlignment="1">
      <alignment vertical="center"/>
    </xf>
    <xf numFmtId="166" fontId="0" fillId="0" borderId="18" xfId="44" applyNumberFormat="1" applyFont="1" applyFill="1" applyBorder="1" applyAlignment="1">
      <alignment vertical="center"/>
    </xf>
    <xf numFmtId="166" fontId="1" fillId="0" borderId="40" xfId="44" applyNumberFormat="1" applyFont="1" applyFill="1" applyBorder="1" applyAlignment="1">
      <alignment vertical="center"/>
    </xf>
    <xf numFmtId="164" fontId="1" fillId="0" borderId="24" xfId="0" applyNumberFormat="1" applyFont="1" applyBorder="1" applyAlignment="1">
      <alignment horizontal="right"/>
    </xf>
    <xf numFmtId="14" fontId="0" fillId="0" borderId="15" xfId="0" applyNumberFormat="1" applyFont="1" applyFill="1" applyBorder="1" applyAlignment="1">
      <alignment/>
    </xf>
    <xf numFmtId="164" fontId="1" fillId="0" borderId="13" xfId="0" applyNumberFormat="1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64" fontId="0" fillId="0" borderId="14" xfId="0" applyNumberFormat="1" applyFont="1" applyFill="1" applyBorder="1" applyAlignment="1" quotePrefix="1">
      <alignment horizontal="center" vertical="center"/>
    </xf>
    <xf numFmtId="164" fontId="2" fillId="35" borderId="18" xfId="0" applyNumberFormat="1" applyFont="1" applyFill="1" applyBorder="1" applyAlignment="1" quotePrefix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31" xfId="0" applyFont="1" applyBorder="1" applyAlignment="1" quotePrefix="1">
      <alignment horizontal="center" vertical="center" wrapText="1"/>
    </xf>
    <xf numFmtId="164" fontId="2" fillId="0" borderId="23" xfId="0" applyNumberFormat="1" applyFont="1" applyBorder="1" applyAlignment="1">
      <alignment horizontal="center" wrapText="1"/>
    </xf>
    <xf numFmtId="0" fontId="0" fillId="0" borderId="0" xfId="0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21" xfId="0" applyBorder="1" applyAlignment="1">
      <alignment/>
    </xf>
    <xf numFmtId="171" fontId="0" fillId="0" borderId="21" xfId="60" applyNumberFormat="1" applyFont="1" applyBorder="1" applyAlignment="1">
      <alignment horizontal="center"/>
    </xf>
    <xf numFmtId="171" fontId="0" fillId="0" borderId="21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1" xfId="0" applyBorder="1" applyAlignment="1">
      <alignment/>
    </xf>
    <xf numFmtId="164" fontId="2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2" fillId="0" borderId="33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164" fontId="2" fillId="0" borderId="20" xfId="0" applyNumberFormat="1" applyFont="1" applyBorder="1" applyAlignment="1">
      <alignment horizontal="center"/>
    </xf>
    <xf numFmtId="168" fontId="0" fillId="0" borderId="29" xfId="0" applyNumberFormat="1" applyFont="1" applyFill="1" applyBorder="1" applyAlignment="1">
      <alignment horizontal="center" vertical="center"/>
    </xf>
    <xf numFmtId="168" fontId="0" fillId="0" borderId="34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 quotePrefix="1">
      <alignment horizontal="center" vertical="center"/>
    </xf>
    <xf numFmtId="0" fontId="8" fillId="36" borderId="39" xfId="0" applyFont="1" applyFill="1" applyBorder="1" applyAlignment="1" quotePrefix="1">
      <alignment horizontal="left" vertical="center" wrapText="1"/>
    </xf>
    <xf numFmtId="166" fontId="0" fillId="36" borderId="17" xfId="44" applyNumberFormat="1" applyFont="1" applyFill="1" applyBorder="1" applyAlignment="1">
      <alignment vertical="center"/>
    </xf>
    <xf numFmtId="166" fontId="0" fillId="36" borderId="18" xfId="44" applyNumberFormat="1" applyFont="1" applyFill="1" applyBorder="1" applyAlignment="1">
      <alignment vertical="center"/>
    </xf>
    <xf numFmtId="166" fontId="1" fillId="36" borderId="40" xfId="44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 quotePrefix="1">
      <alignment horizontal="center"/>
    </xf>
    <xf numFmtId="164" fontId="16" fillId="0" borderId="14" xfId="0" applyNumberFormat="1" applyFont="1" applyFill="1" applyBorder="1" applyAlignment="1" quotePrefix="1">
      <alignment horizontal="left"/>
    </xf>
    <xf numFmtId="10" fontId="0" fillId="0" borderId="14" xfId="60" applyNumberFormat="1" applyFont="1" applyFill="1" applyBorder="1" applyAlignment="1" quotePrefix="1">
      <alignment horizontal="center"/>
    </xf>
    <xf numFmtId="0" fontId="11" fillId="0" borderId="0" xfId="0" applyFont="1" applyAlignment="1" quotePrefix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Alignment="1" quotePrefix="1">
      <alignment horizontal="left"/>
    </xf>
    <xf numFmtId="0" fontId="0" fillId="33" borderId="0" xfId="0" applyFont="1" applyFill="1" applyAlignment="1" quotePrefix="1">
      <alignment horizontal="left"/>
    </xf>
    <xf numFmtId="0" fontId="53" fillId="37" borderId="0" xfId="0" applyFont="1" applyFill="1" applyAlignment="1">
      <alignment/>
    </xf>
    <xf numFmtId="0" fontId="17" fillId="37" borderId="0" xfId="0" applyFont="1" applyFill="1" applyAlignment="1">
      <alignment/>
    </xf>
    <xf numFmtId="168" fontId="6" fillId="37" borderId="0" xfId="0" applyNumberFormat="1" applyFont="1" applyFill="1" applyBorder="1" applyAlignment="1">
      <alignment horizontal="right"/>
    </xf>
    <xf numFmtId="164" fontId="6" fillId="37" borderId="0" xfId="0" applyNumberFormat="1" applyFont="1" applyFill="1" applyBorder="1" applyAlignment="1">
      <alignment horizontal="right"/>
    </xf>
    <xf numFmtId="0" fontId="9" fillId="0" borderId="0" xfId="0" applyFont="1" applyAlignment="1" quotePrefix="1">
      <alignment horizontal="left"/>
    </xf>
    <xf numFmtId="164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42" xfId="0" applyBorder="1" applyAlignment="1" quotePrefix="1">
      <alignment horizontal="left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0" fontId="54" fillId="0" borderId="0" xfId="60" applyNumberFormat="1" applyFont="1" applyBorder="1" applyAlignment="1" quotePrefix="1">
      <alignment horizontal="left"/>
    </xf>
    <xf numFmtId="14" fontId="0" fillId="0" borderId="15" xfId="0" applyNumberFormat="1" applyBorder="1" applyAlignment="1" quotePrefix="1">
      <alignment horizontal="left"/>
    </xf>
    <xf numFmtId="167" fontId="0" fillId="0" borderId="0" xfId="0" applyNumberFormat="1" applyAlignment="1">
      <alignment/>
    </xf>
    <xf numFmtId="14" fontId="6" fillId="37" borderId="0" xfId="57" applyNumberFormat="1" applyFont="1" applyFill="1" applyBorder="1">
      <alignment/>
      <protection/>
    </xf>
    <xf numFmtId="14" fontId="6" fillId="33" borderId="15" xfId="57" applyNumberFormat="1" applyFont="1" applyFill="1" applyBorder="1">
      <alignment/>
      <protection/>
    </xf>
    <xf numFmtId="14" fontId="6" fillId="37" borderId="15" xfId="57" applyNumberFormat="1" applyFont="1" applyFill="1" applyBorder="1">
      <alignment/>
      <protection/>
    </xf>
    <xf numFmtId="1" fontId="7" fillId="37" borderId="0" xfId="0" applyNumberFormat="1" applyFont="1" applyFill="1" applyBorder="1" applyAlignment="1">
      <alignment horizontal="center"/>
    </xf>
    <xf numFmtId="1" fontId="7" fillId="37" borderId="15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0" fontId="0" fillId="0" borderId="45" xfId="0" applyBorder="1" applyAlignment="1">
      <alignment/>
    </xf>
    <xf numFmtId="17" fontId="0" fillId="0" borderId="43" xfId="0" applyNumberFormat="1" applyBorder="1" applyAlignment="1">
      <alignment/>
    </xf>
    <xf numFmtId="17" fontId="0" fillId="0" borderId="46" xfId="0" applyNumberFormat="1" applyBorder="1" applyAlignment="1">
      <alignment/>
    </xf>
    <xf numFmtId="17" fontId="0" fillId="0" borderId="47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167" fontId="0" fillId="0" borderId="43" xfId="0" applyNumberFormat="1" applyBorder="1" applyAlignment="1">
      <alignment/>
    </xf>
    <xf numFmtId="167" fontId="0" fillId="0" borderId="46" xfId="0" applyNumberFormat="1" applyBorder="1" applyAlignment="1">
      <alignment/>
    </xf>
    <xf numFmtId="167" fontId="0" fillId="0" borderId="47" xfId="0" applyNumberFormat="1" applyBorder="1" applyAlignment="1">
      <alignment/>
    </xf>
    <xf numFmtId="167" fontId="11" fillId="0" borderId="48" xfId="0" applyNumberFormat="1" applyFont="1" applyBorder="1" applyAlignment="1">
      <alignment/>
    </xf>
    <xf numFmtId="167" fontId="11" fillId="0" borderId="0" xfId="0" applyNumberFormat="1" applyFont="1" applyAlignment="1">
      <alignment/>
    </xf>
    <xf numFmtId="167" fontId="11" fillId="0" borderId="50" xfId="0" applyNumberFormat="1" applyFont="1" applyBorder="1" applyAlignment="1">
      <alignment/>
    </xf>
    <xf numFmtId="167" fontId="0" fillId="0" borderId="48" xfId="0" applyNumberFormat="1" applyBorder="1" applyAlignment="1">
      <alignment/>
    </xf>
    <xf numFmtId="167" fontId="0" fillId="0" borderId="50" xfId="0" applyNumberFormat="1" applyBorder="1" applyAlignment="1">
      <alignment/>
    </xf>
    <xf numFmtId="167" fontId="11" fillId="0" borderId="43" xfId="0" applyNumberFormat="1" applyFont="1" applyBorder="1" applyAlignment="1">
      <alignment/>
    </xf>
    <xf numFmtId="167" fontId="11" fillId="0" borderId="46" xfId="0" applyNumberFormat="1" applyFont="1" applyBorder="1" applyAlignment="1">
      <alignment/>
    </xf>
    <xf numFmtId="167" fontId="11" fillId="0" borderId="47" xfId="0" applyNumberFormat="1" applyFont="1" applyBorder="1" applyAlignment="1">
      <alignment/>
    </xf>
    <xf numFmtId="167" fontId="0" fillId="0" borderId="49" xfId="0" applyNumberFormat="1" applyBorder="1" applyAlignment="1">
      <alignment/>
    </xf>
    <xf numFmtId="167" fontId="0" fillId="0" borderId="51" xfId="0" applyNumberFormat="1" applyBorder="1" applyAlignment="1">
      <alignment/>
    </xf>
    <xf numFmtId="167" fontId="0" fillId="0" borderId="52" xfId="0" applyNumberFormat="1" applyBorder="1" applyAlignment="1">
      <alignment/>
    </xf>
    <xf numFmtId="164" fontId="2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 quotePrefix="1">
      <alignment horizontal="center" wrapText="1"/>
    </xf>
    <xf numFmtId="164" fontId="2" fillId="0" borderId="0" xfId="0" applyNumberFormat="1" applyFont="1" applyBorder="1" applyAlignment="1">
      <alignment horizontal="center" wrapText="1"/>
    </xf>
    <xf numFmtId="171" fontId="0" fillId="0" borderId="0" xfId="60" applyNumberFormat="1" applyFont="1" applyBorder="1" applyAlignment="1">
      <alignment horizontal="center"/>
    </xf>
    <xf numFmtId="171" fontId="0" fillId="0" borderId="0" xfId="0" applyNumberFormat="1" applyBorder="1" applyAlignment="1">
      <alignment/>
    </xf>
    <xf numFmtId="164" fontId="2" fillId="0" borderId="11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right"/>
    </xf>
    <xf numFmtId="164" fontId="0" fillId="0" borderId="10" xfId="0" applyNumberFormat="1" applyBorder="1" applyAlignment="1">
      <alignment horizontal="center"/>
    </xf>
    <xf numFmtId="0" fontId="12" fillId="0" borderId="0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168" fontId="0" fillId="0" borderId="0" xfId="0" applyNumberFormat="1" applyFont="1" applyAlignment="1" quotePrefix="1">
      <alignment/>
    </xf>
    <xf numFmtId="0" fontId="1" fillId="0" borderId="53" xfId="0" applyFont="1" applyBorder="1" applyAlignment="1" quotePrefix="1">
      <alignment horizontal="center" vertical="center" wrapText="1"/>
    </xf>
    <xf numFmtId="0" fontId="1" fillId="0" borderId="41" xfId="0" applyFont="1" applyBorder="1" applyAlignment="1" quotePrefix="1">
      <alignment horizontal="center" vertical="center" wrapText="1"/>
    </xf>
    <xf numFmtId="166" fontId="0" fillId="0" borderId="10" xfId="44" applyNumberFormat="1" applyFont="1" applyBorder="1" applyAlignment="1">
      <alignment/>
    </xf>
    <xf numFmtId="166" fontId="0" fillId="0" borderId="21" xfId="44" applyNumberFormat="1" applyFont="1" applyBorder="1" applyAlignment="1">
      <alignment/>
    </xf>
    <xf numFmtId="166" fontId="1" fillId="36" borderId="24" xfId="44" applyNumberFormat="1" applyFont="1" applyFill="1" applyBorder="1" applyAlignment="1">
      <alignment vertical="center"/>
    </xf>
    <xf numFmtId="166" fontId="1" fillId="36" borderId="54" xfId="44" applyNumberFormat="1" applyFont="1" applyFill="1" applyBorder="1" applyAlignment="1">
      <alignment vertical="center"/>
    </xf>
    <xf numFmtId="166" fontId="1" fillId="0" borderId="24" xfId="44" applyNumberFormat="1" applyFont="1" applyFill="1" applyBorder="1" applyAlignment="1">
      <alignment vertical="center"/>
    </xf>
    <xf numFmtId="166" fontId="1" fillId="0" borderId="54" xfId="44" applyNumberFormat="1" applyFont="1" applyFill="1" applyBorder="1" applyAlignment="1">
      <alignment vertical="center"/>
    </xf>
    <xf numFmtId="166" fontId="0" fillId="0" borderId="55" xfId="44" applyNumberFormat="1" applyFont="1" applyBorder="1" applyAlignment="1">
      <alignment vertical="center"/>
    </xf>
    <xf numFmtId="166" fontId="0" fillId="0" borderId="56" xfId="44" applyNumberFormat="1" applyFont="1" applyBorder="1" applyAlignment="1">
      <alignment vertical="center"/>
    </xf>
    <xf numFmtId="167" fontId="0" fillId="0" borderId="0" xfId="42" applyNumberFormat="1" applyFont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" fillId="0" borderId="0" xfId="0" applyFont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numFmt numFmtId="164" formatCode="&quot;$&quot;#,##0.00"/>
      <border/>
    </dxf>
    <dxf>
      <font>
        <name val="Arial Narrow"/>
      </font>
      <border/>
    </dxf>
    <dxf>
      <font>
        <name val="Arial Narrow"/>
      </font>
      <numFmt numFmtId="164" formatCode="&quot;$&quot;#,##0.00"/>
      <border/>
    </dxf>
    <dxf>
      <numFmt numFmtId="2" formatCode="0.00"/>
      <border/>
    </dxf>
    <dxf>
      <numFmt numFmtId="43" formatCode="_(* #,##0.00_);_(* \(#,##0.00\);_(* &quot;-&quot;??_);_(@_)"/>
      <border/>
    </dxf>
    <dxf>
      <numFmt numFmtId="167" formatCode="_(* #,##0_);_(* \(#,##0\);_(* &quot;-&quot;??_);_(@_)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EP%20SPP%20Trans%20Formula%20Rates%20PSO%20SWE%20OKT%20SWT\2019%20Annual%20Update\2017%20SPP%20Formula%20Rate%20ROE%20Refund%20Calculat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 Refund Summary"/>
      <sheetName val="2017 Load WS"/>
      <sheetName val="OpCo Interest"/>
      <sheetName val="Transco Interest"/>
      <sheetName val="2017 OpCo Zonal Rate - 11.2 ROE"/>
      <sheetName val="2017 OpCo Zonal Rate 10.5 ROE"/>
      <sheetName val="2017 TranscoZonal Rate 11.2 ROE"/>
      <sheetName val="2017 TranscoZonal Rate 10.5 ROE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9:R211" sheet="Transactions"/>
  </cacheSource>
  <cacheFields count="17">
    <cacheField name="Serivce Month">
      <sharedItems containsSemiMixedTypes="0" containsNonDate="0" containsDate="1" containsString="0" containsMixedTypes="0" count="108">
        <d v="2018-01-01T00:00:00.000"/>
        <d v="2018-02-01T00:00:00.000"/>
        <d v="2018-03-01T00:00:00.000"/>
        <d v="2018-04-01T00:00:00.000"/>
        <d v="2018-05-01T00:00:00.000"/>
        <d v="2018-06-01T00:00:00.000"/>
        <d v="2018-07-01T00:00:00.000"/>
        <d v="2018-08-01T00:00:00.000"/>
        <d v="2018-09-01T00:00:00.000"/>
        <d v="2018-10-01T00:00:00.000"/>
        <d v="2018-11-01T00:00:00.000"/>
        <d v="2018-12-01T00:00:00.000"/>
        <d v="2013-05-01T00:00:00.000"/>
        <d v="2014-05-01T00:00:00.000"/>
        <d v="2015-05-01T00:00:00.000"/>
        <d v="2016-05-01T00:00:00.000"/>
        <d v="2017-05-01T00:00:00.000"/>
        <d v="2010-11-01T00:00:00.000"/>
        <d v="2011-11-01T00:00:00.000"/>
        <d v="2012-11-01T00:00:00.000"/>
        <d v="2013-11-01T00:00:00.000"/>
        <d v="2014-11-01T00:00:00.000"/>
        <d v="2015-11-01T00:00:00.000"/>
        <d v="2016-11-01T00:00:00.000"/>
        <d v="2017-11-01T00:00:00.000"/>
        <d v="2010-06-01T00:00:00.000"/>
        <d v="2011-06-01T00:00:00.000"/>
        <d v="2012-06-01T00:00:00.000"/>
        <d v="2013-06-01T00:00:00.000"/>
        <d v="2014-06-01T00:00:00.000"/>
        <d v="2015-06-01T00:00:00.000"/>
        <d v="2016-06-01T00:00:00.000"/>
        <d v="2017-06-01T00:00:00.000"/>
        <d v="2010-12-01T00:00:00.000"/>
        <d v="2011-12-01T00:00:00.000"/>
        <d v="2012-12-01T00:00:00.000"/>
        <d v="2013-12-01T00:00:00.000"/>
        <d v="2014-12-01T00:00:00.000"/>
        <d v="2015-12-01T00:00:00.000"/>
        <d v="2016-12-01T00:00:00.000"/>
        <d v="2017-12-01T00:00:00.000"/>
        <d v="2010-01-01T00:00:00.000"/>
        <d v="2011-01-01T00:00:00.000"/>
        <d v="2012-01-01T00:00:00.000"/>
        <d v="2013-01-01T00:00:00.000"/>
        <d v="2014-01-01T00:00:00.000"/>
        <d v="2015-01-01T00:00:00.000"/>
        <d v="2016-01-01T00:00:00.000"/>
        <d v="2017-01-01T00:00:00.000"/>
        <d v="2010-07-01T00:00:00.000"/>
        <d v="2011-07-01T00:00:00.000"/>
        <d v="2012-07-01T00:00:00.000"/>
        <d v="2013-07-01T00:00:00.000"/>
        <d v="2014-07-01T00:00:00.000"/>
        <d v="2015-07-01T00:00:00.000"/>
        <d v="2016-07-01T00:00:00.000"/>
        <d v="2017-07-01T00:00:00.000"/>
        <d v="2010-02-01T00:00:00.000"/>
        <d v="2011-02-01T00:00:00.000"/>
        <d v="2012-02-01T00:00:00.000"/>
        <d v="2013-02-01T00:00:00.000"/>
        <d v="2014-02-01T00:00:00.000"/>
        <d v="2015-02-01T00:00:00.000"/>
        <d v="2016-02-01T00:00:00.000"/>
        <d v="2017-02-01T00:00:00.000"/>
        <d v="2010-08-01T00:00:00.000"/>
        <d v="2011-08-01T00:00:00.000"/>
        <d v="2012-08-01T00:00:00.000"/>
        <d v="2013-08-01T00:00:00.000"/>
        <d v="2014-08-01T00:00:00.000"/>
        <d v="2015-08-01T00:00:00.000"/>
        <d v="2016-08-01T00:00:00.000"/>
        <d v="2017-08-01T00:00:00.000"/>
        <d v="2010-03-01T00:00:00.000"/>
        <d v="2011-03-01T00:00:00.000"/>
        <d v="2012-03-01T00:00:00.000"/>
        <d v="2013-03-01T00:00:00.000"/>
        <d v="2014-03-01T00:00:00.000"/>
        <d v="2015-03-01T00:00:00.000"/>
        <d v="2016-03-01T00:00:00.000"/>
        <d v="2017-03-01T00:00:00.000"/>
        <d v="2010-09-01T00:00:00.000"/>
        <d v="2011-09-01T00:00:00.000"/>
        <d v="2012-09-01T00:00:00.000"/>
        <d v="2013-09-01T00:00:00.000"/>
        <d v="2014-09-01T00:00:00.000"/>
        <d v="2015-09-01T00:00:00.000"/>
        <d v="2016-09-01T00:00:00.000"/>
        <d v="2017-09-01T00:00:00.000"/>
        <d v="2010-04-01T00:00:00.000"/>
        <d v="2011-04-01T00:00:00.000"/>
        <d v="2012-04-01T00:00:00.000"/>
        <d v="2013-04-01T00:00:00.000"/>
        <d v="2014-04-01T00:00:00.000"/>
        <d v="2015-04-01T00:00:00.000"/>
        <d v="2016-04-01T00:00:00.000"/>
        <d v="2017-04-01T00:00:00.000"/>
        <d v="2010-10-01T00:00:00.000"/>
        <d v="2011-10-01T00:00:00.000"/>
        <d v="2012-10-01T00:00:00.000"/>
        <d v="2013-10-01T00:00:00.000"/>
        <d v="2014-10-01T00:00:00.000"/>
        <d v="2015-10-01T00:00:00.000"/>
        <d v="2016-10-01T00:00:00.000"/>
        <d v="2017-10-01T00:00:00.000"/>
        <d v="2010-05-01T00:00:00.000"/>
        <d v="2011-05-01T00:00:00.000"/>
        <d v="2012-05-01T00:00:00.000"/>
      </sharedItems>
    </cacheField>
    <cacheField name="Billing&#10;Date*">
      <sharedItems containsSemiMixedTypes="0" containsNonDate="0" containsDate="1" containsString="0" containsMixedTypes="0"/>
    </cacheField>
    <cacheField name="Payment Received*">
      <sharedItems containsSemiMixedTypes="0" containsNonDate="0" containsDate="1" containsString="0" containsMixedTypes="0"/>
    </cacheField>
    <cacheField name="Customer">
      <sharedItems containsMixedTypes="0" count="22">
        <s v="PSO"/>
        <s v="SWEPCO"/>
        <s v="SWEPCO-Valley"/>
        <s v="AECC"/>
        <s v="AECI"/>
        <s v="WFEC"/>
        <s v="OMPA"/>
        <s v="OG&amp;E"/>
        <s v="ETEC"/>
        <s v="Greenbelt"/>
        <s v="Lighthouse"/>
        <s v="Bentonville, AR"/>
        <s v="Prescott, AR"/>
        <s v="Minden, LA"/>
        <s v="Hope, AR"/>
        <s v="Coffeyville, KS"/>
        <s v="Bentonville"/>
        <s v="Hope"/>
        <s v="NTEC"/>
        <s v="TEXLA"/>
        <s v="Prescott"/>
        <s v="Minden"/>
      </sharedItems>
    </cacheField>
    <cacheField name="Sched.">
      <sharedItems containsSemiMixedTypes="0" containsString="0" containsMixedTypes="0" containsNumber="1" containsInteger="1"/>
    </cacheField>
    <cacheField name="MW">
      <sharedItems containsSemiMixedTypes="0" containsString="0" containsMixedTypes="0" containsNumber="1" containsInteger="1"/>
    </cacheField>
    <cacheField name="Projected Rate (as Invoiced)">
      <sharedItems containsSemiMixedTypes="0" containsString="0" containsMixedTypes="0" containsNumber="1"/>
    </cacheField>
    <cacheField name="Actual True-Up Rate">
      <sharedItems containsSemiMixedTypes="0" containsString="0" containsMixedTypes="0" containsNumber="1"/>
    </cacheField>
    <cacheField name="True-Up Charge">
      <sharedItems containsSemiMixedTypes="0" containsString="0" containsMixedTypes="0" containsNumber="1"/>
    </cacheField>
    <cacheField name="Invoiced*** Charge (proj.)">
      <sharedItems containsSemiMixedTypes="0" containsString="0" containsMixedTypes="0" containsNumber="1"/>
    </cacheField>
    <cacheField name="True-Up w/o Interest">
      <sharedItems containsSemiMixedTypes="0" containsString="0" containsMixedTypes="0" containsNumber="1"/>
    </cacheField>
    <cacheField name="Interest">
      <sharedItems containsSemiMixedTypes="0" containsString="0" containsMixedTypes="0" containsNumber="1"/>
    </cacheField>
    <cacheField name="2018 True Up Including Interest">
      <sharedItems containsSemiMixedTypes="0" containsString="0" containsMixedTypes="0" containsNumber="1"/>
    </cacheField>
    <cacheField name="Tax Rebilling Rate">
      <sharedItems containsSemiMixedTypes="0" containsString="0" containsMixedTypes="0" containsNumber="1"/>
    </cacheField>
    <cacheField name="Tax True Up Billing">
      <sharedItems containsSemiMixedTypes="0" containsString="0" containsMixedTypes="0" containsNumber="1"/>
    </cacheField>
    <cacheField name="Tax True Up">
      <sharedItems containsSemiMixedTypes="0" containsString="0" containsMixedTypes="0" containsNumber="1"/>
    </cacheField>
    <cacheField name="Total True-up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O123" firstHeaderRow="1" firstDataRow="2" firstDataCol="2"/>
  <pivotFields count="17">
    <pivotField axis="axisCol" compact="0" outline="0" subtotalTop="0" showAll="0" numFmtId="17">
      <items count="109">
        <item m="1" x="41"/>
        <item m="1" x="57"/>
        <item m="1" x="73"/>
        <item m="1" x="89"/>
        <item m="1" x="105"/>
        <item m="1" x="25"/>
        <item m="1" x="49"/>
        <item m="1" x="65"/>
        <item m="1" x="81"/>
        <item m="1" x="97"/>
        <item m="1" x="17"/>
        <item m="1" x="33"/>
        <item m="1" x="42"/>
        <item m="1" x="58"/>
        <item m="1" x="74"/>
        <item m="1" x="90"/>
        <item m="1" x="106"/>
        <item m="1" x="26"/>
        <item m="1" x="50"/>
        <item m="1" x="66"/>
        <item m="1" x="82"/>
        <item m="1" x="98"/>
        <item m="1" x="18"/>
        <item m="1" x="34"/>
        <item m="1" x="43"/>
        <item m="1" x="59"/>
        <item m="1" x="75"/>
        <item m="1" x="91"/>
        <item m="1" x="107"/>
        <item m="1" x="27"/>
        <item m="1" x="51"/>
        <item m="1" x="67"/>
        <item m="1" x="83"/>
        <item m="1" x="99"/>
        <item m="1" x="19"/>
        <item m="1" x="35"/>
        <item m="1" x="44"/>
        <item m="1" x="60"/>
        <item m="1" x="76"/>
        <item m="1" x="92"/>
        <item m="1" x="12"/>
        <item m="1" x="28"/>
        <item m="1" x="52"/>
        <item m="1" x="68"/>
        <item m="1" x="84"/>
        <item m="1" x="100"/>
        <item m="1" x="20"/>
        <item m="1" x="36"/>
        <item m="1" x="45"/>
        <item m="1" x="61"/>
        <item m="1" x="77"/>
        <item m="1" x="93"/>
        <item m="1" x="13"/>
        <item m="1" x="29"/>
        <item m="1" x="53"/>
        <item m="1" x="69"/>
        <item m="1" x="85"/>
        <item m="1" x="101"/>
        <item m="1" x="21"/>
        <item m="1" x="37"/>
        <item m="1" x="46"/>
        <item m="1" x="62"/>
        <item m="1" x="78"/>
        <item m="1" x="94"/>
        <item m="1" x="14"/>
        <item m="1" x="30"/>
        <item m="1" x="54"/>
        <item m="1" x="70"/>
        <item m="1" x="86"/>
        <item m="1" x="102"/>
        <item m="1" x="22"/>
        <item m="1" x="38"/>
        <item m="1" x="47"/>
        <item m="1" x="63"/>
        <item m="1" x="79"/>
        <item m="1" x="95"/>
        <item m="1" x="15"/>
        <item m="1" x="31"/>
        <item m="1" x="55"/>
        <item m="1" x="71"/>
        <item m="1" x="87"/>
        <item m="1" x="103"/>
        <item m="1" x="23"/>
        <item m="1" x="39"/>
        <item m="1" x="48"/>
        <item m="1" x="64"/>
        <item m="1" x="80"/>
        <item m="1" x="96"/>
        <item m="1" x="16"/>
        <item m="1" x="32"/>
        <item m="1" x="56"/>
        <item m="1" x="72"/>
        <item m="1" x="88"/>
        <item m="1" x="104"/>
        <item m="1" x="24"/>
        <item m="1" x="4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 numFmtId="14"/>
    <pivotField compact="0" outline="0" subtotalTop="0" showAll="0" numFmtId="14"/>
    <pivotField axis="axisRow" compact="0" outline="0" subtotalTop="0" showAll="0">
      <items count="23">
        <item x="3"/>
        <item m="1" x="16"/>
        <item x="15"/>
        <item x="8"/>
        <item x="9"/>
        <item m="1" x="17"/>
        <item x="10"/>
        <item m="1" x="18"/>
        <item x="7"/>
        <item x="6"/>
        <item m="1" x="20"/>
        <item x="0"/>
        <item x="1"/>
        <item m="1" x="19"/>
        <item x="5"/>
        <item m="1" x="21"/>
        <item x="11"/>
        <item x="12"/>
        <item x="13"/>
        <item x="14"/>
        <item x="2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64"/>
    <pivotField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compact="0" outline="0" subtotalTop="0" showAll="0" numFmtId="164" defaultSubtotal="0"/>
    <pivotField compact="0" outline="0" subtotalTop="0" showAll="0" numFmtId="164" defaultSubtotal="0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</pivotFields>
  <rowFields count="2">
    <field x="3"/>
    <field x="-2"/>
  </rowFields>
  <rowItems count="119">
    <i>
      <x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>
      <x v="2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>
      <x v="3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>
      <x v="4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>
      <x v="6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>
      <x v="8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>
      <x v="9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>
      <x v="11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>
      <x v="12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>
      <x v="14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>
      <x v="16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>
      <x v="17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>
      <x v="18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>
      <x v="19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>
      <x v="20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>
      <x v="21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</rowItems>
  <colFields count="1">
    <field x="0"/>
  </colFields>
  <colItems count="13"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 t="grand">
      <x/>
    </i>
  </colItems>
  <dataFields count="7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6" baseField="0" baseItem="0"/>
    <dataField name="Sum of Invoiced*** Charge (proj.)" fld="9" baseField="0" baseItem="0"/>
    <dataField name="Sum of Tax True Up Billing" fld="14" baseField="0" baseItem="0"/>
    <dataField name="Sum of Tax True Up" fld="15" baseField="0" baseItem="0"/>
  </dataFields>
  <formats count="21">
    <format dxfId="0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0"/>
          </reference>
        </references>
      </pivotArea>
    </format>
    <format dxfId="1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0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2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3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4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5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6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7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8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9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0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1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2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3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4"/>
          </reference>
        </references>
      </pivotArea>
    </format>
    <format dxfId="2">
      <pivotArea outline="0" fieldPosition="0" axis="axisRow" field="3" grandRow="1">
        <references count="1">
          <reference field="4294967294" count="3">
            <x v="1"/>
            <x v="2"/>
            <x v="3"/>
          </reference>
        </references>
      </pivotArea>
    </format>
    <format dxfId="3">
      <pivotArea outline="0" fieldPosition="0">
        <references count="3">
          <reference field="4294967294" count="1">
            <x v="2"/>
          </reference>
          <reference field="0" count="1">
            <x v="60"/>
          </reference>
          <reference field="3" count="1">
            <x v="20"/>
          </reference>
        </references>
      </pivotArea>
    </format>
    <format dxfId="3">
      <pivotArea outline="0" fieldPosition="0">
        <references count="3">
          <reference field="4294967294" count="1">
            <x v="3"/>
          </reference>
          <reference field="0" count="1">
            <x v="60"/>
          </reference>
          <reference field="3" count="1">
            <x v="20"/>
          </reference>
        </references>
      </pivotArea>
    </format>
    <format dxfId="4">
      <pivotArea outline="0" fieldPosition="0" grandCol="1" grandRow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4" sqref="B14"/>
    </sheetView>
  </sheetViews>
  <sheetFormatPr defaultColWidth="9.140625" defaultRowHeight="12.75"/>
  <sheetData>
    <row r="1" ht="12.75">
      <c r="A1" t="s">
        <v>63</v>
      </c>
    </row>
    <row r="3" spans="1:2" ht="12.75">
      <c r="A3" s="23">
        <v>1</v>
      </c>
      <c r="B3" s="15" t="s">
        <v>65</v>
      </c>
    </row>
    <row r="4" spans="1:2" ht="12.75">
      <c r="A4" s="23">
        <v>2</v>
      </c>
      <c r="B4" s="15" t="s">
        <v>64</v>
      </c>
    </row>
    <row r="5" spans="1:2" ht="12.75">
      <c r="A5" s="23">
        <v>3</v>
      </c>
      <c r="B5" s="15" t="s">
        <v>66</v>
      </c>
    </row>
    <row r="6" spans="1:2" ht="12.75">
      <c r="A6" s="23">
        <v>4</v>
      </c>
      <c r="B6" s="176" t="s">
        <v>80</v>
      </c>
    </row>
    <row r="7" spans="1:2" ht="12.75">
      <c r="A7" s="23">
        <v>5</v>
      </c>
      <c r="B7" s="15" t="s">
        <v>67</v>
      </c>
    </row>
    <row r="8" spans="1:2" ht="12.75">
      <c r="A8" s="23">
        <v>6</v>
      </c>
      <c r="B8" s="15" t="s">
        <v>68</v>
      </c>
    </row>
    <row r="9" spans="1:2" ht="12.75">
      <c r="A9" s="23">
        <v>7</v>
      </c>
      <c r="B9" s="2" t="s">
        <v>69</v>
      </c>
    </row>
    <row r="10" spans="1:2" ht="12.75">
      <c r="A10" s="23">
        <v>8</v>
      </c>
      <c r="B10" s="15" t="s">
        <v>72</v>
      </c>
    </row>
    <row r="11" spans="1:2" ht="12.75">
      <c r="A11" s="23"/>
      <c r="B11" s="15" t="s">
        <v>73</v>
      </c>
    </row>
    <row r="12" spans="1:2" ht="12.75">
      <c r="A12" s="23"/>
      <c r="B12" s="2" t="s">
        <v>74</v>
      </c>
    </row>
    <row r="13" spans="1:2" ht="12.75">
      <c r="A13" s="23"/>
      <c r="B13" s="2" t="s">
        <v>75</v>
      </c>
    </row>
    <row r="14" spans="1:2" ht="12.75">
      <c r="A14" s="23">
        <v>9</v>
      </c>
      <c r="B14" s="15" t="s">
        <v>76</v>
      </c>
    </row>
    <row r="15" spans="1:2" ht="12.75">
      <c r="A15" s="23">
        <v>10</v>
      </c>
      <c r="B15" s="15" t="s">
        <v>78</v>
      </c>
    </row>
    <row r="16" spans="1:2" ht="12.75">
      <c r="A16" s="23">
        <v>11</v>
      </c>
      <c r="B16" s="15" t="s">
        <v>79</v>
      </c>
    </row>
    <row r="17" ht="12.75">
      <c r="A17" s="2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4"/>
  <sheetViews>
    <sheetView tabSelected="1" zoomScale="85" zoomScaleNormal="85" zoomScaleSheetLayoutView="100" zoomScalePageLayoutView="0" workbookViewId="0" topLeftCell="A1">
      <selection activeCell="C1" sqref="C1:I1"/>
    </sheetView>
  </sheetViews>
  <sheetFormatPr defaultColWidth="33.28125" defaultRowHeight="12.75"/>
  <cols>
    <col min="1" max="1" width="9.140625" style="0" customWidth="1"/>
    <col min="2" max="2" width="14.00390625" style="0" customWidth="1"/>
    <col min="3" max="3" width="21.8515625" style="0" customWidth="1"/>
    <col min="4" max="4" width="15.57421875" style="0" customWidth="1"/>
    <col min="5" max="16" width="14.00390625" style="0" customWidth="1"/>
    <col min="17" max="17" width="15.00390625" style="0" customWidth="1"/>
    <col min="18" max="110" width="31.7109375" style="0" customWidth="1"/>
    <col min="111" max="111" width="11.421875" style="0" customWidth="1"/>
  </cols>
  <sheetData>
    <row r="1" spans="3:12" ht="12.75">
      <c r="C1" s="247" t="str">
        <f>+Transactions!B1</f>
        <v>AEPTCo Formula Rate -- FERC Docket ER18-195</v>
      </c>
      <c r="D1" s="247"/>
      <c r="E1" s="247"/>
      <c r="F1" s="247"/>
      <c r="G1" s="247"/>
      <c r="H1" s="247"/>
      <c r="I1" s="247"/>
      <c r="L1" s="178">
        <v>2019</v>
      </c>
    </row>
    <row r="2" spans="3:9" ht="12.75">
      <c r="C2" s="247" t="s">
        <v>36</v>
      </c>
      <c r="D2" s="247"/>
      <c r="E2" s="247"/>
      <c r="F2" s="247"/>
      <c r="G2" s="247"/>
      <c r="H2" s="247"/>
      <c r="I2" s="247"/>
    </row>
    <row r="3" spans="3:9" ht="12.75">
      <c r="C3" s="247" t="str">
        <f>"for period 01/01/"&amp;F8&amp;" - 12/31/"&amp;F8</f>
        <v>for period 01/01/2018 - 12/31/2018</v>
      </c>
      <c r="D3" s="247"/>
      <c r="E3" s="247"/>
      <c r="F3" s="247"/>
      <c r="G3" s="247"/>
      <c r="H3" s="247"/>
      <c r="I3" s="247"/>
    </row>
    <row r="4" spans="3:9" ht="12.75">
      <c r="C4" s="247" t="s">
        <v>95</v>
      </c>
      <c r="D4" s="247"/>
      <c r="E4" s="247"/>
      <c r="F4" s="247"/>
      <c r="G4" s="247"/>
      <c r="H4" s="247"/>
      <c r="I4" s="247"/>
    </row>
    <row r="5" spans="3:4" ht="12.75">
      <c r="C5" s="177" t="str">
        <f>"Prepared:  May 22_, "&amp;L1&amp;""</f>
        <v>Prepared:  May 22_, 2019</v>
      </c>
      <c r="D5" s="175"/>
    </row>
    <row r="6" ht="12.75">
      <c r="C6" s="57"/>
    </row>
    <row r="7" ht="12.75">
      <c r="C7" s="5"/>
    </row>
    <row r="8" ht="27.75" customHeight="1" thickBot="1">
      <c r="F8" s="112">
        <f>Transactions!R1</f>
        <v>2018</v>
      </c>
    </row>
    <row r="9" spans="5:12" ht="20.25" customHeight="1">
      <c r="E9" s="123" t="s">
        <v>94</v>
      </c>
      <c r="F9" s="103"/>
      <c r="G9" s="111"/>
      <c r="H9" s="228"/>
      <c r="L9" s="23"/>
    </row>
    <row r="10" spans="2:8" ht="42" customHeight="1" thickBot="1">
      <c r="B10" s="89"/>
      <c r="E10" s="142" t="str">
        <f>"(per "&amp;$F8&amp;" Projections "&amp;$F8&amp;")"</f>
        <v>(per 2018 Projections 2018)</v>
      </c>
      <c r="F10" s="174" t="str">
        <f>"(per "&amp;F8+1&amp;" Update of May "&amp;F8+1&amp;")"</f>
        <v>(per 2019 Update of May 2019)</v>
      </c>
      <c r="G10" s="143"/>
      <c r="H10" s="229"/>
    </row>
    <row r="11" spans="2:8" ht="21.75" customHeight="1">
      <c r="B11" s="91"/>
      <c r="C11" s="109" t="s">
        <v>39</v>
      </c>
      <c r="D11" s="108" t="s">
        <v>37</v>
      </c>
      <c r="E11" s="159">
        <f>Transactions!K2</f>
        <v>178114957.88937774</v>
      </c>
      <c r="F11" s="97"/>
      <c r="G11" s="160"/>
      <c r="H11" s="230"/>
    </row>
    <row r="12" spans="2:11" ht="21.75" customHeight="1">
      <c r="B12" s="91"/>
      <c r="C12" s="98"/>
      <c r="D12" s="114" t="s">
        <v>42</v>
      </c>
      <c r="E12" s="104"/>
      <c r="F12" s="96">
        <f>+Transactions!J2</f>
        <v>142851680.2536123</v>
      </c>
      <c r="G12" s="105"/>
      <c r="H12" s="162"/>
      <c r="K12" s="184"/>
    </row>
    <row r="13" spans="2:11" ht="21.75" customHeight="1">
      <c r="B13" s="90"/>
      <c r="C13" s="110" t="s">
        <v>40</v>
      </c>
      <c r="D13" s="107" t="s">
        <v>38</v>
      </c>
      <c r="E13" s="161">
        <f>Transactions!K3</f>
        <v>1817.43</v>
      </c>
      <c r="F13" s="162"/>
      <c r="G13" s="163"/>
      <c r="H13" s="231"/>
      <c r="K13" s="183"/>
    </row>
    <row r="14" spans="2:11" ht="21.75" customHeight="1" thickBot="1">
      <c r="B14" s="89"/>
      <c r="C14" s="99"/>
      <c r="D14" s="113" t="s">
        <v>41</v>
      </c>
      <c r="E14" s="100"/>
      <c r="F14" s="140">
        <f>+Transactions!J3</f>
        <v>1393.46</v>
      </c>
      <c r="G14" s="101"/>
      <c r="H14" s="162"/>
      <c r="K14" s="184"/>
    </row>
    <row r="15" spans="2:11" ht="12.75">
      <c r="B15" s="91"/>
      <c r="E15" s="69"/>
      <c r="K15" s="183"/>
    </row>
    <row r="16" spans="2:19" ht="12.75">
      <c r="B16" s="90"/>
      <c r="C16" s="90"/>
      <c r="D16" s="106"/>
      <c r="E16" s="90"/>
      <c r="F16" s="92"/>
      <c r="G16" s="93"/>
      <c r="H16" s="93"/>
      <c r="K16" s="150"/>
      <c r="L16" s="69"/>
      <c r="N16" s="8"/>
      <c r="O16" s="81"/>
      <c r="P16" s="81"/>
      <c r="Q16" s="81"/>
      <c r="R16" s="81"/>
      <c r="S16" s="81"/>
    </row>
    <row r="17" spans="3:19" ht="12.75">
      <c r="C17" s="5"/>
      <c r="K17" s="183"/>
      <c r="N17" s="20"/>
      <c r="O17" s="81"/>
      <c r="P17" s="81"/>
      <c r="Q17" s="81"/>
      <c r="R17" s="81"/>
      <c r="S17" s="81"/>
    </row>
    <row r="18" spans="3:19" ht="12.75">
      <c r="C18" s="8"/>
      <c r="D18" s="8"/>
      <c r="E18" s="8"/>
      <c r="F18" s="8"/>
      <c r="G18" s="8"/>
      <c r="H18" s="8"/>
      <c r="I18" s="8"/>
      <c r="N18" s="8"/>
      <c r="O18" s="81"/>
      <c r="P18" s="81"/>
      <c r="Q18" s="81"/>
      <c r="R18" s="81"/>
      <c r="S18" s="81"/>
    </row>
    <row r="19" spans="3:19" ht="21" customHeight="1" thickBot="1">
      <c r="C19" s="94" t="s">
        <v>31</v>
      </c>
      <c r="D19" s="94" t="s">
        <v>32</v>
      </c>
      <c r="E19" s="95" t="s">
        <v>33</v>
      </c>
      <c r="F19" s="95" t="s">
        <v>34</v>
      </c>
      <c r="G19" s="94" t="s">
        <v>35</v>
      </c>
      <c r="H19" s="94" t="s">
        <v>93</v>
      </c>
      <c r="I19" s="95" t="s">
        <v>92</v>
      </c>
      <c r="J19" s="232" t="s">
        <v>96</v>
      </c>
      <c r="K19" s="233" t="s">
        <v>97</v>
      </c>
      <c r="N19" s="8"/>
      <c r="O19" s="81"/>
      <c r="P19" s="81"/>
      <c r="Q19" s="81"/>
      <c r="R19" s="81"/>
      <c r="S19" s="81"/>
    </row>
    <row r="20" spans="3:19" ht="53.25" customHeight="1">
      <c r="C20" s="130" t="s">
        <v>50</v>
      </c>
      <c r="D20" s="86" t="str">
        <f>"Actual Charge
("&amp;F8&amp;" True-Up)"</f>
        <v>Actual Charge
(2018 True-Up)</v>
      </c>
      <c r="E20" s="87" t="str">
        <f>"Invoiced for
CY"&amp;F8&amp;" Transmission Service"</f>
        <v>Invoiced for
CY2018 Transmission Service</v>
      </c>
      <c r="F20" s="86" t="s">
        <v>100</v>
      </c>
      <c r="G20" s="88" t="s">
        <v>101</v>
      </c>
      <c r="H20" s="88" t="s">
        <v>102</v>
      </c>
      <c r="I20" s="86" t="s">
        <v>103</v>
      </c>
      <c r="J20" s="234" t="s">
        <v>98</v>
      </c>
      <c r="K20" s="235" t="s">
        <v>99</v>
      </c>
      <c r="N20" s="8"/>
      <c r="O20" s="81"/>
      <c r="P20" s="81"/>
      <c r="Q20" s="81"/>
      <c r="R20" s="81"/>
      <c r="S20" s="81"/>
    </row>
    <row r="21" spans="2:19" ht="12.75">
      <c r="B21" s="122"/>
      <c r="C21" s="82" t="s">
        <v>14</v>
      </c>
      <c r="D21" s="83">
        <f>GETPIVOTDATA("Sum of "&amp;T(Transactions!$J$19),Pivot!$A$3,"Customer",C21)</f>
        <v>12549500.76</v>
      </c>
      <c r="E21" s="83">
        <f>GETPIVOTDATA("Sum of "&amp;T(Transactions!$K$19),Pivot!$A$3,"Customer",C21)</f>
        <v>16367774.579999998</v>
      </c>
      <c r="F21" s="83">
        <f>D21-E21</f>
        <v>-3818273.8199999984</v>
      </c>
      <c r="G21" s="81">
        <f>+GETPIVOTDATA("Sum of "&amp;T(Transactions!$M$19),Pivot!$A$3,"Customer","AECC")</f>
        <v>-188363.33993636837</v>
      </c>
      <c r="H21" s="81">
        <f>GETPIVOTDATA("Sum of "&amp;T(Transactions!$Q$19),Pivot!$A$3,"Customer","AECC")</f>
        <v>-1616757.1199999992</v>
      </c>
      <c r="I21" s="84">
        <f>F21+G21-H21</f>
        <v>-2389880.0399363674</v>
      </c>
      <c r="J21" s="236">
        <v>-237705.6155183845</v>
      </c>
      <c r="K21" s="237">
        <f>I21+J21</f>
        <v>-2627585.655454752</v>
      </c>
      <c r="L21" s="122"/>
      <c r="N21" s="8"/>
      <c r="O21" s="81"/>
      <c r="P21" s="81"/>
      <c r="Q21" s="81"/>
      <c r="R21" s="81"/>
      <c r="S21" s="81"/>
    </row>
    <row r="22" spans="2:19" ht="12.75">
      <c r="B22" s="122"/>
      <c r="C22" s="102" t="s">
        <v>83</v>
      </c>
      <c r="D22" s="83">
        <f>GETPIVOTDATA("Sum of "&amp;T(Transactions!$J$19),Pivot!$A$3,"Customer",C22)</f>
        <v>675828.1000000001</v>
      </c>
      <c r="E22" s="83">
        <f>GETPIVOTDATA("Sum of "&amp;T(Transactions!$K$19),Pivot!$A$3,"Customer",C22)</f>
        <v>881453.55</v>
      </c>
      <c r="F22" s="83">
        <f>D22-E22</f>
        <v>-205625.44999999995</v>
      </c>
      <c r="G22" s="81">
        <f>+GETPIVOTDATA("Sum of "&amp;T(Transactions!$M$19),Pivot!$A$3,"Customer","AECI")</f>
        <v>-10143.928477585905</v>
      </c>
      <c r="H22" s="81">
        <f>GETPIVOTDATA("Sum of "&amp;T(Transactions!$Q$19),Pivot!$A$3,"Customer",C22)</f>
        <v>-87067.19999999998</v>
      </c>
      <c r="I22" s="84">
        <f aca="true" t="shared" si="0" ref="I22:I33">F22+G22-H22</f>
        <v>-128702.17847758587</v>
      </c>
      <c r="J22" s="236">
        <v>-13107.044573680121</v>
      </c>
      <c r="K22" s="237">
        <f aca="true" t="shared" si="1" ref="K22:K39">I22+J22</f>
        <v>-141809.223051266</v>
      </c>
      <c r="L22" s="122"/>
      <c r="N22" s="8"/>
      <c r="O22" s="81"/>
      <c r="P22" s="81"/>
      <c r="Q22" s="81"/>
      <c r="R22" s="81"/>
      <c r="S22" s="81"/>
    </row>
    <row r="23" spans="2:19" ht="12.75">
      <c r="B23" s="122"/>
      <c r="C23" s="102" t="s">
        <v>54</v>
      </c>
      <c r="D23" s="83">
        <f>GETPIVOTDATA("Sum of "&amp;T(Transactions!$J$19),Pivot!$A$3,"Customer",C23)</f>
        <v>2073468.48</v>
      </c>
      <c r="E23" s="83">
        <f>GETPIVOTDATA("Sum of "&amp;T(Transactions!$K$19),Pivot!$A$3,"Customer",C23)</f>
        <v>2704335.84</v>
      </c>
      <c r="F23" s="83">
        <f aca="true" t="shared" si="2" ref="F23:F35">D23-E23</f>
        <v>-630867.3599999999</v>
      </c>
      <c r="G23" s="81">
        <f>+GETPIVOTDATA("Sum of "&amp;T(Transactions!$M$19),Pivot!$A$3,"Customer","Bentonville, AR")</f>
        <v>-31121.990875562533</v>
      </c>
      <c r="H23" s="81">
        <f>GETPIVOTDATA("Sum of "&amp;T(Transactions!$Q$19),Pivot!$A$3,"Customer",C23)</f>
        <v>-267125.76</v>
      </c>
      <c r="I23" s="84">
        <f t="shared" si="0"/>
        <v>-394863.5908755624</v>
      </c>
      <c r="J23" s="236">
        <v>-41146.7577866601</v>
      </c>
      <c r="K23" s="237">
        <f t="shared" si="1"/>
        <v>-436010.3486622225</v>
      </c>
      <c r="L23" s="122"/>
      <c r="N23" s="8"/>
      <c r="O23" s="81"/>
      <c r="P23" s="81"/>
      <c r="Q23" s="81"/>
      <c r="R23" s="81"/>
      <c r="S23" s="81"/>
    </row>
    <row r="24" spans="2:19" ht="12.75">
      <c r="B24" s="122"/>
      <c r="C24" s="82" t="s">
        <v>17</v>
      </c>
      <c r="D24" s="83">
        <f>GETPIVOTDATA("Sum of "&amp;T(Transactions!$J$19),Pivot!$A$3,"Customer",C24)</f>
        <v>1665184.7000000002</v>
      </c>
      <c r="E24" s="83">
        <f>GETPIVOTDATA("Sum of "&amp;T(Transactions!$K$19),Pivot!$A$3,"Customer",C24)</f>
        <v>2171828.85</v>
      </c>
      <c r="F24" s="83">
        <f t="shared" si="2"/>
        <v>-506644.1499999999</v>
      </c>
      <c r="G24" s="81">
        <f>+GETPIVOTDATA("Sum of "&amp;T(Transactions!$M$19),Pivot!$A$3,"Customer","Coffeyville, KS")</f>
        <v>-24993.80315611372</v>
      </c>
      <c r="H24" s="81">
        <f>GETPIVOTDATA("Sum of "&amp;T(Transactions!$Q$19),Pivot!$A$3,"Customer",C24)</f>
        <v>-214526.4</v>
      </c>
      <c r="I24" s="84">
        <f t="shared" si="0"/>
        <v>-317111.5531561136</v>
      </c>
      <c r="J24" s="236">
        <v>-31550.528723787156</v>
      </c>
      <c r="K24" s="237">
        <f t="shared" si="1"/>
        <v>-348662.08187990077</v>
      </c>
      <c r="L24" s="122"/>
      <c r="N24" s="8"/>
      <c r="O24" s="81"/>
      <c r="P24" s="81"/>
      <c r="Q24" s="81"/>
      <c r="R24" s="81"/>
      <c r="S24" s="81"/>
    </row>
    <row r="25" spans="2:19" ht="12.75">
      <c r="B25" s="122"/>
      <c r="C25" s="102" t="s">
        <v>13</v>
      </c>
      <c r="D25" s="83">
        <f>GETPIVOTDATA("Sum of "&amp;T(Transactions!$J$19),Pivot!$A$3,"Customer",C25)</f>
        <v>13961075.740000002</v>
      </c>
      <c r="E25" s="83">
        <f>GETPIVOTDATA("Sum of "&amp;T(Transactions!$K$19),Pivot!$A$3,"Customer",C25)</f>
        <v>18208831.169999998</v>
      </c>
      <c r="F25" s="83">
        <f t="shared" si="2"/>
        <v>-4247755.429999996</v>
      </c>
      <c r="G25" s="81">
        <f>+GETPIVOTDATA("Sum of "&amp;T(Transactions!$M$19),Pivot!$A$3,"Customer","ETEC")</f>
        <v>-209550.55549883132</v>
      </c>
      <c r="H25" s="81">
        <f>GETPIVOTDATA("Sum of "&amp;T(Transactions!$Q$19),Pivot!$A$3,"Customer",C25)</f>
        <v>-1798610.8799999997</v>
      </c>
      <c r="I25" s="84">
        <f t="shared" si="0"/>
        <v>-2658695.105498827</v>
      </c>
      <c r="J25" s="236">
        <v>-250484.98397772264</v>
      </c>
      <c r="K25" s="237">
        <f t="shared" si="1"/>
        <v>-2909180.0894765495</v>
      </c>
      <c r="L25" s="122"/>
      <c r="N25" s="20"/>
      <c r="O25" s="81"/>
      <c r="P25" s="81"/>
      <c r="Q25" s="81"/>
      <c r="R25" s="81"/>
      <c r="S25" s="81"/>
    </row>
    <row r="26" spans="2:19" ht="12.75">
      <c r="B26" s="122"/>
      <c r="C26" s="82" t="s">
        <v>15</v>
      </c>
      <c r="D26" s="83">
        <f>GETPIVOTDATA("Sum of "&amp;T(Transactions!$J$19),Pivot!$A$3,"Customer",C26)</f>
        <v>161641.36000000002</v>
      </c>
      <c r="E26" s="83">
        <f>GETPIVOTDATA("Sum of "&amp;T(Transactions!$K$19),Pivot!$A$3,"Customer",C26)</f>
        <v>210821.88000000006</v>
      </c>
      <c r="F26" s="83">
        <f t="shared" si="2"/>
        <v>-49180.52000000005</v>
      </c>
      <c r="G26" s="81">
        <f>+GETPIVOTDATA("Sum of "&amp;T(Transactions!$M$19),Pivot!$A$3,"Customer","Greenbelt")</f>
        <v>-2426.1767080411655</v>
      </c>
      <c r="H26" s="81">
        <f>GETPIVOTDATA("Sum of "&amp;T(Transactions!$Q$19),Pivot!$A$3,"Customer",C26)</f>
        <v>-20824.319999999992</v>
      </c>
      <c r="I26" s="84">
        <f t="shared" si="0"/>
        <v>-30782.37670804122</v>
      </c>
      <c r="J26" s="236">
        <v>-2761.841535168312</v>
      </c>
      <c r="K26" s="237">
        <f t="shared" si="1"/>
        <v>-33544.218243209536</v>
      </c>
      <c r="L26" s="122"/>
      <c r="M26" s="121"/>
      <c r="N26" s="121"/>
      <c r="O26" s="121"/>
      <c r="P26" s="121"/>
      <c r="Q26" s="81"/>
      <c r="R26" s="81"/>
      <c r="S26" s="81"/>
    </row>
    <row r="27" spans="2:19" ht="12.75">
      <c r="B27" s="122"/>
      <c r="C27" s="82" t="s">
        <v>57</v>
      </c>
      <c r="D27" s="83">
        <f>GETPIVOTDATA("Sum of "&amp;T(Transactions!$J$19),Pivot!$A$3,"Customer",C27)</f>
        <v>809600.26</v>
      </c>
      <c r="E27" s="83">
        <f>GETPIVOTDATA("Sum of "&amp;T(Transactions!$K$19),Pivot!$A$3,"Customer",C27)</f>
        <v>1055926.83</v>
      </c>
      <c r="F27" s="83">
        <f t="shared" si="2"/>
        <v>-246326.57000000007</v>
      </c>
      <c r="G27" s="81">
        <f>+GETPIVOTDATA("Sum of "&amp;T(Transactions!$M$19),Pivot!$A$3,"Customer","Hope, AR")</f>
        <v>-12151.798856654457</v>
      </c>
      <c r="H27" s="81">
        <f>GETPIVOTDATA("Sum of "&amp;T(Transactions!$Q$19),Pivot!$A$3,"Customer",C27)</f>
        <v>-104301.12</v>
      </c>
      <c r="I27" s="84">
        <f t="shared" si="0"/>
        <v>-154177.24885665454</v>
      </c>
      <c r="J27" s="236">
        <v>-14651.80339843528</v>
      </c>
      <c r="K27" s="237">
        <f t="shared" si="1"/>
        <v>-168829.0522550898</v>
      </c>
      <c r="L27" s="122"/>
      <c r="M27" s="121"/>
      <c r="N27" s="121"/>
      <c r="O27" s="121"/>
      <c r="P27" s="121"/>
      <c r="Q27" s="81"/>
      <c r="R27" s="81"/>
      <c r="S27" s="81"/>
    </row>
    <row r="28" spans="2:19" ht="12.75">
      <c r="B28" s="122"/>
      <c r="C28" s="82" t="s">
        <v>16</v>
      </c>
      <c r="D28" s="83">
        <f>GETPIVOTDATA("Sum of "&amp;T(Transactions!$J$19),Pivot!$A$3,"Customer",C28)</f>
        <v>44590.719999999994</v>
      </c>
      <c r="E28" s="83">
        <f>GETPIVOTDATA("Sum of "&amp;T(Transactions!$K$19),Pivot!$A$3,"Customer",C28)</f>
        <v>58157.76</v>
      </c>
      <c r="F28" s="83">
        <f t="shared" si="2"/>
        <v>-13567.040000000008</v>
      </c>
      <c r="G28" s="81">
        <f>+GETPIVOTDATA("Sum of "&amp;T(Transactions!$M$19),Pivot!$A$3,"Customer","Lighthouse")</f>
        <v>-669.2901263561835</v>
      </c>
      <c r="H28" s="81">
        <f>GETPIVOTDATA("Sum of "&amp;T(Transactions!$Q$19),Pivot!$A$3,"Customer",C28)</f>
        <v>-5744.639999999998</v>
      </c>
      <c r="I28" s="84">
        <f t="shared" si="0"/>
        <v>-8491.690126356194</v>
      </c>
      <c r="J28" s="236">
        <v>-608.5413552065771</v>
      </c>
      <c r="K28" s="237">
        <f t="shared" si="1"/>
        <v>-9100.23148156277</v>
      </c>
      <c r="L28" s="122"/>
      <c r="N28" s="8"/>
      <c r="O28" s="81"/>
      <c r="P28" s="81"/>
      <c r="Q28" s="81"/>
      <c r="R28" s="81"/>
      <c r="S28" s="81"/>
    </row>
    <row r="29" spans="2:19" ht="12.75">
      <c r="B29" s="122"/>
      <c r="C29" s="102" t="s">
        <v>56</v>
      </c>
      <c r="D29" s="83">
        <f>GETPIVOTDATA("Sum of "&amp;T(Transactions!$J$19),Pivot!$A$3,"Customer",C29)</f>
        <v>468202.55999999994</v>
      </c>
      <c r="E29" s="83">
        <f>GETPIVOTDATA("Sum of "&amp;T(Transactions!$K$19),Pivot!$A$3,"Customer",C29)</f>
        <v>610656.4799999999</v>
      </c>
      <c r="F29" s="83">
        <f t="shared" si="2"/>
        <v>-142453.91999999993</v>
      </c>
      <c r="G29" s="81">
        <f>+GETPIVOTDATA("Sum of "&amp;T(Transactions!$M$19),Pivot!$A$3,"Customer","Minden, LA")</f>
        <v>-7027.5463267399255</v>
      </c>
      <c r="H29" s="81">
        <f>GETPIVOTDATA("Sum of "&amp;T(Transactions!$Q$19),Pivot!$A$3,"Customer",C29)</f>
        <v>-60318.71999999999</v>
      </c>
      <c r="I29" s="84">
        <f t="shared" si="0"/>
        <v>-89162.74632673986</v>
      </c>
      <c r="J29" s="236">
        <v>-9408.985568963233</v>
      </c>
      <c r="K29" s="237">
        <f t="shared" si="1"/>
        <v>-98571.7318957031</v>
      </c>
      <c r="L29" s="122"/>
      <c r="N29" s="8"/>
      <c r="O29" s="81"/>
      <c r="P29" s="81"/>
      <c r="Q29" s="81"/>
      <c r="R29" s="81"/>
      <c r="S29" s="81"/>
    </row>
    <row r="30" spans="2:12" ht="12.75">
      <c r="B30" s="122"/>
      <c r="C30" s="102" t="s">
        <v>19</v>
      </c>
      <c r="D30" s="83">
        <f>GETPIVOTDATA("Sum of "&amp;T(Transactions!$J$19),Pivot!$A$3,"Customer",C30)</f>
        <v>305167.74000000005</v>
      </c>
      <c r="E30" s="83">
        <f>GETPIVOTDATA("Sum of "&amp;T(Transactions!$K$19),Pivot!$A$3,"Customer",C30)</f>
        <v>398017.17</v>
      </c>
      <c r="F30" s="83">
        <f t="shared" si="2"/>
        <v>-92849.42999999993</v>
      </c>
      <c r="G30" s="81">
        <f>+GETPIVOTDATA("Sum of "&amp;T(Transactions!$M$19),Pivot!$A$3,"Customer","OG&amp;E")</f>
        <v>-4580.454302250131</v>
      </c>
      <c r="H30" s="81">
        <f>GETPIVOTDATA("Sum of "&amp;T(Transactions!$Q$19),Pivot!$A$3,"Customer",C30)</f>
        <v>-39314.879999999976</v>
      </c>
      <c r="I30" s="84">
        <f t="shared" si="0"/>
        <v>-58115.00430225009</v>
      </c>
      <c r="J30" s="236">
        <v>-5570.493943814052</v>
      </c>
      <c r="K30" s="237">
        <f t="shared" si="1"/>
        <v>-63685.49824606414</v>
      </c>
      <c r="L30" s="122"/>
    </row>
    <row r="31" spans="2:12" ht="12.75">
      <c r="B31" s="122"/>
      <c r="C31" s="82" t="s">
        <v>8</v>
      </c>
      <c r="D31" s="83">
        <f>GETPIVOTDATA("Sum of "&amp;T(Transactions!$J$19),Pivot!$A$3,"Customer",C31)</f>
        <v>1828219.5200000003</v>
      </c>
      <c r="E31" s="83">
        <f>GETPIVOTDATA("Sum of "&amp;T(Transactions!$K$19),Pivot!$A$3,"Customer",C31)</f>
        <v>2384468.1599999997</v>
      </c>
      <c r="F31" s="83">
        <f t="shared" si="2"/>
        <v>-556248.6399999994</v>
      </c>
      <c r="G31" s="81">
        <f>+GETPIVOTDATA("Sum of "&amp;T(Transactions!$M$19),Pivot!$A$3,"Customer","OMPA")</f>
        <v>-27440.89518060352</v>
      </c>
      <c r="H31" s="81">
        <f>GETPIVOTDATA("Sum of "&amp;T(Transactions!$Q$19),Pivot!$A$3,"Customer",C31)</f>
        <v>-235530.2399999999</v>
      </c>
      <c r="I31" s="84">
        <f t="shared" si="0"/>
        <v>-348159.29518060305</v>
      </c>
      <c r="J31" s="236">
        <v>-37401.887908465775</v>
      </c>
      <c r="K31" s="237">
        <f t="shared" si="1"/>
        <v>-385561.1830890688</v>
      </c>
      <c r="L31" s="122"/>
    </row>
    <row r="32" spans="2:12" ht="12.75">
      <c r="B32" s="122"/>
      <c r="C32" s="82" t="s">
        <v>55</v>
      </c>
      <c r="D32" s="83">
        <f>GETPIVOTDATA("Sum of "&amp;T(Transactions!$J$19),Pivot!$A$3,"Customer",C32)</f>
        <v>182543.26</v>
      </c>
      <c r="E32" s="83">
        <f>GETPIVOTDATA("Sum of "&amp;T(Transactions!$K$19),Pivot!$A$3,"Customer",C32)</f>
        <v>238083.33</v>
      </c>
      <c r="F32" s="83">
        <f t="shared" si="2"/>
        <v>-55540.06999999998</v>
      </c>
      <c r="G32" s="81">
        <f>+GETPIVOTDATA("Sum of "&amp;T(Transactions!$M$19),Pivot!$A$3,"Customer","Prescott, AR")</f>
        <v>-2739.906454770626</v>
      </c>
      <c r="H32" s="81">
        <f>GETPIVOTDATA("Sum of "&amp;T(Transactions!$Q$19),Pivot!$A$3,"Customer",C32)</f>
        <v>-23517.119999999988</v>
      </c>
      <c r="I32" s="84">
        <f t="shared" si="0"/>
        <v>-34762.85645477062</v>
      </c>
      <c r="J32" s="236">
        <v>-4166.167739491182</v>
      </c>
      <c r="K32" s="237">
        <f t="shared" si="1"/>
        <v>-38929.0241942618</v>
      </c>
      <c r="L32" s="122"/>
    </row>
    <row r="33" spans="2:12" ht="12.75">
      <c r="B33" s="122"/>
      <c r="C33" s="85" t="s">
        <v>9</v>
      </c>
      <c r="D33" s="83">
        <f>GETPIVOTDATA("Sum of "&amp;T(Transactions!$J$19),Pivot!$A$3,"Customer",C33)</f>
        <v>614515.86</v>
      </c>
      <c r="E33" s="83">
        <f>GETPIVOTDATA("Sum of "&amp;T(Transactions!$K$19),Pivot!$A$3,"Customer",C33)</f>
        <v>801486.63</v>
      </c>
      <c r="F33" s="83">
        <f t="shared" si="2"/>
        <v>-186970.77000000002</v>
      </c>
      <c r="G33" s="81">
        <f>+GETPIVOTDATA("Sum of "&amp;T(Transactions!$M$19),Pivot!$A$3,"Customer","WFEC")</f>
        <v>-9223.654553846152</v>
      </c>
      <c r="H33" s="81">
        <f>GETPIVOTDATA("Sum of "&amp;T(Transactions!$Q$19),Pivot!$A$3,"Customer",C33)</f>
        <v>-79168.31999999999</v>
      </c>
      <c r="I33" s="84">
        <f t="shared" si="0"/>
        <v>-117026.10455384619</v>
      </c>
      <c r="J33" s="236">
        <v>-12030.394483699256</v>
      </c>
      <c r="K33" s="237">
        <f t="shared" si="1"/>
        <v>-129056.49903754545</v>
      </c>
      <c r="L33" s="122"/>
    </row>
    <row r="34" spans="3:11" ht="24">
      <c r="C34" s="164" t="s">
        <v>43</v>
      </c>
      <c r="D34" s="165">
        <f aca="true" t="shared" si="3" ref="D34:J34">SUM(D21:D33)</f>
        <v>35339539.059999995</v>
      </c>
      <c r="E34" s="165">
        <f t="shared" si="3"/>
        <v>46091842.22999999</v>
      </c>
      <c r="F34" s="165">
        <f t="shared" si="3"/>
        <v>-10752303.169999992</v>
      </c>
      <c r="G34" s="166">
        <f t="shared" si="3"/>
        <v>-530433.340453724</v>
      </c>
      <c r="H34" s="166">
        <f t="shared" si="3"/>
        <v>-4552806.72</v>
      </c>
      <c r="I34" s="167">
        <f t="shared" si="3"/>
        <v>-6729929.790453718</v>
      </c>
      <c r="J34" s="238">
        <f t="shared" si="3"/>
        <v>-660595.0465134783</v>
      </c>
      <c r="K34" s="239">
        <f t="shared" si="1"/>
        <v>-7390524.836967196</v>
      </c>
    </row>
    <row r="35" spans="3:11" ht="12.75">
      <c r="C35" s="185" t="s">
        <v>21</v>
      </c>
      <c r="D35" s="83">
        <f>GETPIVOTDATA("Sum of "&amp;T(Transactions!$J$19),Pivot!$A$3,"Customer",C35)</f>
        <v>53324927.28</v>
      </c>
      <c r="E35" s="83">
        <f>GETPIVOTDATA("Sum of "&amp;T(Transactions!$K$19),Pivot!$A$3,"Customer",C35)</f>
        <v>69549411.24000001</v>
      </c>
      <c r="F35" s="83">
        <f t="shared" si="2"/>
        <v>-16224483.960000008</v>
      </c>
      <c r="G35" s="81">
        <f>+GETPIVOTDATA("Sum of "&amp;T(Transactions!$M$19),Pivot!$A$3,"Customer","PSO")</f>
        <v>-800387.3298562008</v>
      </c>
      <c r="H35" s="81">
        <f>GETPIVOTDATA("Sum of "&amp;T(Transactions!$Q$19),Pivot!$A$3,"Customer",C35)</f>
        <v>-6869871.359999997</v>
      </c>
      <c r="I35" s="84">
        <f>F35+G35-H35</f>
        <v>-10154999.929856215</v>
      </c>
      <c r="J35" s="236">
        <v>-1081565.2316959973</v>
      </c>
      <c r="K35" s="237">
        <f t="shared" si="1"/>
        <v>-11236565.161552211</v>
      </c>
    </row>
    <row r="36" spans="3:11" ht="12.75">
      <c r="C36" s="186" t="s">
        <v>22</v>
      </c>
      <c r="D36" s="83">
        <f>GETPIVOTDATA("Sum of "&amp;T(Transactions!$J$19),Pivot!$A$3,"Customer",C36)</f>
        <v>51996959.9</v>
      </c>
      <c r="E36" s="83">
        <f>GETPIVOTDATA("Sum of "&amp;T(Transactions!$K$19),Pivot!$A$3,"Customer",C36)</f>
        <v>67817400.45</v>
      </c>
      <c r="F36" s="83">
        <f>D36-E36</f>
        <v>-15820440.550000004</v>
      </c>
      <c r="G36" s="81">
        <f>+GETPIVOTDATA("Sum of "&amp;T(Transactions!$M$19),Pivot!$A$3,"Customer","SWEPCO")</f>
        <v>-780455.0332806559</v>
      </c>
      <c r="H36" s="81">
        <f>GETPIVOTDATA("Sum of "&amp;T(Transactions!$Q$19),Pivot!$A$3,"Customer",C36)</f>
        <v>-6698788.799999999</v>
      </c>
      <c r="I36" s="84">
        <f>F36+G36-H36</f>
        <v>-9902106.783280661</v>
      </c>
      <c r="J36" s="236">
        <v>-1017013.0371706228</v>
      </c>
      <c r="K36" s="237">
        <f t="shared" si="1"/>
        <v>-10919119.820451284</v>
      </c>
    </row>
    <row r="37" spans="3:11" ht="12.75">
      <c r="C37" s="187" t="s">
        <v>81</v>
      </c>
      <c r="D37" s="83">
        <f>GETPIVOTDATA("Sum of "&amp;T(Transactions!$J$19),Pivot!$A$3,"Customer",C37)</f>
        <v>2191912.58</v>
      </c>
      <c r="E37" s="83">
        <f>GETPIVOTDATA("Sum of "&amp;T(Transactions!$K$19),Pivot!$A$3,"Customer",C37)</f>
        <v>2858817.3900000006</v>
      </c>
      <c r="F37" s="83">
        <f>D37-E37</f>
        <v>-666904.8100000005</v>
      </c>
      <c r="G37" s="81">
        <f>+GETPIVOTDATA("Sum of "&amp;T(Transactions!$M$19),Pivot!$A$3,"Customer","SWEPCO-Valley")</f>
        <v>-32899.79277369614</v>
      </c>
      <c r="H37" s="81">
        <f>GETPIVOTDATA("Sum of "&amp;T(Transactions!$Q$19),Pivot!$A$3,"Customer",C37)</f>
        <v>-282384.95999999996</v>
      </c>
      <c r="I37" s="84">
        <f>F37+G37-H37</f>
        <v>-417419.6427736967</v>
      </c>
      <c r="J37" s="236">
        <v>-40304.16206406638</v>
      </c>
      <c r="K37" s="237">
        <f t="shared" si="1"/>
        <v>-457723.8048377631</v>
      </c>
    </row>
    <row r="38" spans="3:13" ht="24">
      <c r="C38" s="131" t="s">
        <v>51</v>
      </c>
      <c r="D38" s="132">
        <f aca="true" t="shared" si="4" ref="D38:I38">SUM(D35:D37)</f>
        <v>107513799.76</v>
      </c>
      <c r="E38" s="132">
        <f t="shared" si="4"/>
        <v>140225629.07999998</v>
      </c>
      <c r="F38" s="132">
        <f t="shared" si="4"/>
        <v>-32711829.320000015</v>
      </c>
      <c r="G38" s="133">
        <f t="shared" si="4"/>
        <v>-1613742.155910553</v>
      </c>
      <c r="H38" s="133">
        <f t="shared" si="4"/>
        <v>-13851045.119999997</v>
      </c>
      <c r="I38" s="134">
        <f t="shared" si="4"/>
        <v>-20474526.35591057</v>
      </c>
      <c r="J38" s="240">
        <f>SUM(J35:J37)</f>
        <v>-2138882.430930686</v>
      </c>
      <c r="K38" s="241">
        <f t="shared" si="1"/>
        <v>-22613408.786841255</v>
      </c>
      <c r="M38" s="244"/>
    </row>
    <row r="39" spans="3:13" ht="23.25" customHeight="1" thickBot="1">
      <c r="C39" s="120" t="s">
        <v>44</v>
      </c>
      <c r="D39" s="117">
        <f aca="true" t="shared" si="5" ref="D39:I39">SUM(D34,D38)</f>
        <v>142853338.82</v>
      </c>
      <c r="E39" s="118">
        <f t="shared" si="5"/>
        <v>186317471.30999997</v>
      </c>
      <c r="F39" s="117">
        <f t="shared" si="5"/>
        <v>-43464132.49000001</v>
      </c>
      <c r="G39" s="118">
        <f t="shared" si="5"/>
        <v>-2144175.496364277</v>
      </c>
      <c r="H39" s="118">
        <f t="shared" si="5"/>
        <v>-18403851.839999996</v>
      </c>
      <c r="I39" s="119">
        <f t="shared" si="5"/>
        <v>-27204456.146364287</v>
      </c>
      <c r="J39" s="242">
        <f>SUM(J34,J38)</f>
        <v>-2799477.4774441645</v>
      </c>
      <c r="K39" s="243">
        <f t="shared" si="1"/>
        <v>-30003933.62380845</v>
      </c>
      <c r="M39" s="244"/>
    </row>
    <row r="40" spans="5:8" ht="12.75">
      <c r="E40" s="8"/>
      <c r="F40" s="8"/>
      <c r="G40" s="8"/>
      <c r="H40" s="8"/>
    </row>
    <row r="41" spans="3:11" ht="12.75">
      <c r="C41" s="15"/>
      <c r="F41" s="190"/>
      <c r="G41" s="190"/>
      <c r="H41" s="190"/>
      <c r="I41" s="190"/>
      <c r="J41" s="190"/>
      <c r="K41" s="190">
        <v>-1915491.8257741123</v>
      </c>
    </row>
    <row r="42" spans="3:11" ht="12.75">
      <c r="C42" s="15"/>
      <c r="K42" s="190">
        <v>-17210524.813401014</v>
      </c>
    </row>
    <row r="43" ht="12.75">
      <c r="C43" s="15"/>
    </row>
    <row r="44" ht="12.75">
      <c r="K44" s="122">
        <f>SUM(K39:K42)</f>
        <v>-49129950.262983575</v>
      </c>
    </row>
  </sheetData>
  <sheetProtection/>
  <mergeCells count="4">
    <mergeCell ref="C1:I1"/>
    <mergeCell ref="C2:I2"/>
    <mergeCell ref="C3:I3"/>
    <mergeCell ref="C4:I4"/>
  </mergeCells>
  <printOptions horizontalCentered="1"/>
  <pageMargins left="0.5" right="0.75" top="0.9" bottom="0.53" header="0.5" footer="0.5"/>
  <pageSetup fitToHeight="1" fitToWidth="1" horizontalDpi="1200" verticalDpi="12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23"/>
  <sheetViews>
    <sheetView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6" sqref="D16"/>
    </sheetView>
  </sheetViews>
  <sheetFormatPr defaultColWidth="9.140625" defaultRowHeight="12.75"/>
  <cols>
    <col min="1" max="1" width="19.140625" style="0" customWidth="1"/>
    <col min="2" max="2" width="28.57421875" style="0" bestFit="1" customWidth="1"/>
    <col min="3" max="14" width="15.421875" style="0" bestFit="1" customWidth="1"/>
    <col min="15" max="15" width="12.57421875" style="0" bestFit="1" customWidth="1"/>
  </cols>
  <sheetData>
    <row r="3" spans="1:15" ht="12.75">
      <c r="A3" s="197"/>
      <c r="B3" s="198"/>
      <c r="C3" s="199" t="s">
        <v>53</v>
      </c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200"/>
    </row>
    <row r="4" spans="1:15" ht="12.75">
      <c r="A4" s="199" t="s">
        <v>0</v>
      </c>
      <c r="B4" s="199" t="s">
        <v>24</v>
      </c>
      <c r="C4" s="201">
        <v>43101</v>
      </c>
      <c r="D4" s="202">
        <v>43132</v>
      </c>
      <c r="E4" s="202">
        <v>43160</v>
      </c>
      <c r="F4" s="202">
        <v>43191</v>
      </c>
      <c r="G4" s="202">
        <v>43221</v>
      </c>
      <c r="H4" s="202">
        <v>43252</v>
      </c>
      <c r="I4" s="202">
        <v>43282</v>
      </c>
      <c r="J4" s="202">
        <v>43313</v>
      </c>
      <c r="K4" s="202">
        <v>43344</v>
      </c>
      <c r="L4" s="202">
        <v>43374</v>
      </c>
      <c r="M4" s="202">
        <v>43405</v>
      </c>
      <c r="N4" s="202">
        <v>43435</v>
      </c>
      <c r="O4" s="203" t="s">
        <v>18</v>
      </c>
    </row>
    <row r="5" spans="1:15" ht="12.75">
      <c r="A5" s="197" t="s">
        <v>14</v>
      </c>
      <c r="B5" s="197" t="s">
        <v>70</v>
      </c>
      <c r="C5" s="206">
        <v>1325180.46</v>
      </c>
      <c r="D5" s="207">
        <v>1008865.04</v>
      </c>
      <c r="E5" s="207">
        <v>840256.38</v>
      </c>
      <c r="F5" s="207">
        <v>620089.7000000001</v>
      </c>
      <c r="G5" s="207">
        <v>1092472.6400000001</v>
      </c>
      <c r="H5" s="207">
        <v>1212310.2</v>
      </c>
      <c r="I5" s="207">
        <v>1300098.18</v>
      </c>
      <c r="J5" s="207">
        <v>1135669.9000000001</v>
      </c>
      <c r="K5" s="207">
        <v>1116161.46</v>
      </c>
      <c r="L5" s="207">
        <v>951733.18</v>
      </c>
      <c r="M5" s="207">
        <v>975422</v>
      </c>
      <c r="N5" s="207">
        <v>971241.62</v>
      </c>
      <c r="O5" s="208">
        <v>12549500.76</v>
      </c>
    </row>
    <row r="6" spans="1:15" ht="12.75">
      <c r="A6" s="245"/>
      <c r="B6" s="204" t="s">
        <v>25</v>
      </c>
      <c r="C6" s="209">
        <v>-403195.4700000002</v>
      </c>
      <c r="D6" s="210">
        <v>-306954.28</v>
      </c>
      <c r="E6" s="210">
        <v>-255653.91000000003</v>
      </c>
      <c r="F6" s="210">
        <v>-188666.6499999999</v>
      </c>
      <c r="G6" s="210">
        <v>-332392.48</v>
      </c>
      <c r="H6" s="210">
        <v>-368853.90000000014</v>
      </c>
      <c r="I6" s="210">
        <v>-395564.01</v>
      </c>
      <c r="J6" s="210">
        <v>-345535.5499999998</v>
      </c>
      <c r="K6" s="210">
        <v>-339599.97</v>
      </c>
      <c r="L6" s="210">
        <v>-289571.5099999999</v>
      </c>
      <c r="M6" s="210">
        <v>-296779</v>
      </c>
      <c r="N6" s="210">
        <v>-295507.08999999997</v>
      </c>
      <c r="O6" s="211">
        <v>-3818273.8199999994</v>
      </c>
    </row>
    <row r="7" spans="1:15" ht="12.75">
      <c r="A7" s="245"/>
      <c r="B7" s="204" t="s">
        <v>26</v>
      </c>
      <c r="C7" s="209">
        <v>-19890.465942647825</v>
      </c>
      <c r="D7" s="210">
        <v>-15142.68910880865</v>
      </c>
      <c r="E7" s="210">
        <v>-12611.93581852433</v>
      </c>
      <c r="F7" s="210">
        <v>-9307.315819640675</v>
      </c>
      <c r="G7" s="210">
        <v>-16397.608095726493</v>
      </c>
      <c r="H7" s="210">
        <v>-18196.325310308737</v>
      </c>
      <c r="I7" s="210">
        <v>-19513.990246572474</v>
      </c>
      <c r="J7" s="210">
        <v>-17045.98290563405</v>
      </c>
      <c r="K7" s="210">
        <v>-16753.168475353217</v>
      </c>
      <c r="L7" s="210">
        <v>-14285.161134414791</v>
      </c>
      <c r="M7" s="210">
        <v>-14640.721514041514</v>
      </c>
      <c r="N7" s="210">
        <v>-14577.97556469562</v>
      </c>
      <c r="O7" s="211">
        <v>-188363.33993636837</v>
      </c>
    </row>
    <row r="8" spans="1:15" ht="12.75">
      <c r="A8" s="245"/>
      <c r="B8" s="204" t="s">
        <v>27</v>
      </c>
      <c r="C8" s="209">
        <v>-252362.41594264802</v>
      </c>
      <c r="D8" s="210">
        <v>-192124.4891088087</v>
      </c>
      <c r="E8" s="210">
        <v>-160015.28581852443</v>
      </c>
      <c r="F8" s="210">
        <v>-118087.56581964067</v>
      </c>
      <c r="G8" s="210">
        <v>-208046.4080957265</v>
      </c>
      <c r="H8" s="210">
        <v>-230867.82531030895</v>
      </c>
      <c r="I8" s="210">
        <v>-247585.84024657257</v>
      </c>
      <c r="J8" s="210">
        <v>-216272.73290563404</v>
      </c>
      <c r="K8" s="210">
        <v>-212557.6184753534</v>
      </c>
      <c r="L8" s="210">
        <v>-181244.51113441476</v>
      </c>
      <c r="M8" s="210">
        <v>-185755.72151404154</v>
      </c>
      <c r="N8" s="210">
        <v>-184959.62556469563</v>
      </c>
      <c r="O8" s="211">
        <v>-2389880.0399363693</v>
      </c>
    </row>
    <row r="9" spans="1:15" ht="12.75">
      <c r="A9" s="245"/>
      <c r="B9" s="204" t="s">
        <v>49</v>
      </c>
      <c r="C9" s="212">
        <v>1728375.9300000002</v>
      </c>
      <c r="D9" s="190">
        <v>1315819.32</v>
      </c>
      <c r="E9" s="190">
        <v>1095910.29</v>
      </c>
      <c r="F9" s="190">
        <v>808756.35</v>
      </c>
      <c r="G9" s="190">
        <v>1424865.12</v>
      </c>
      <c r="H9" s="190">
        <v>1581164.1</v>
      </c>
      <c r="I9" s="190">
        <v>1695662.19</v>
      </c>
      <c r="J9" s="190">
        <v>1481205.45</v>
      </c>
      <c r="K9" s="190">
        <v>1455761.43</v>
      </c>
      <c r="L9" s="190">
        <v>1241304.69</v>
      </c>
      <c r="M9" s="190">
        <v>1272201</v>
      </c>
      <c r="N9" s="190">
        <v>1266748.71</v>
      </c>
      <c r="O9" s="213">
        <v>16367774.579999998</v>
      </c>
    </row>
    <row r="10" spans="1:15" ht="12.75">
      <c r="A10" s="245"/>
      <c r="B10" s="204" t="s">
        <v>88</v>
      </c>
      <c r="C10" s="212">
        <v>1557652.4100000001</v>
      </c>
      <c r="D10" s="190">
        <v>1185846.84</v>
      </c>
      <c r="E10" s="190">
        <v>987659.7300000001</v>
      </c>
      <c r="F10" s="190">
        <v>728869.9500000001</v>
      </c>
      <c r="G10" s="190">
        <v>1284121.4400000002</v>
      </c>
      <c r="H10" s="190">
        <v>1424981.7000000002</v>
      </c>
      <c r="I10" s="190">
        <v>1528170.03</v>
      </c>
      <c r="J10" s="190">
        <v>1334896.6500000001</v>
      </c>
      <c r="K10" s="190">
        <v>1311965.9100000001</v>
      </c>
      <c r="L10" s="190">
        <v>1118692.53</v>
      </c>
      <c r="M10" s="190">
        <v>1146537</v>
      </c>
      <c r="N10" s="190">
        <v>1141623.27</v>
      </c>
      <c r="O10" s="213">
        <v>14751017.459999999</v>
      </c>
    </row>
    <row r="11" spans="1:15" ht="12.75">
      <c r="A11" s="245"/>
      <c r="B11" s="204" t="s">
        <v>90</v>
      </c>
      <c r="C11" s="212">
        <v>-170723.52000000002</v>
      </c>
      <c r="D11" s="190">
        <v>-129972.47999999998</v>
      </c>
      <c r="E11" s="190">
        <v>-108250.55999999994</v>
      </c>
      <c r="F11" s="190">
        <v>-79886.3999999999</v>
      </c>
      <c r="G11" s="190">
        <v>-140743.67999999993</v>
      </c>
      <c r="H11" s="190">
        <v>-156182.3999999999</v>
      </c>
      <c r="I11" s="190">
        <v>-167492.15999999992</v>
      </c>
      <c r="J11" s="190">
        <v>-146308.7999999998</v>
      </c>
      <c r="K11" s="190">
        <v>-143795.5199999998</v>
      </c>
      <c r="L11" s="190">
        <v>-122612.15999999992</v>
      </c>
      <c r="M11" s="190">
        <v>-125664</v>
      </c>
      <c r="N11" s="190">
        <v>-125125.43999999994</v>
      </c>
      <c r="O11" s="213">
        <v>-1616757.1199999992</v>
      </c>
    </row>
    <row r="12" spans="1:15" ht="12.75">
      <c r="A12" s="197" t="s">
        <v>17</v>
      </c>
      <c r="B12" s="197" t="s">
        <v>70</v>
      </c>
      <c r="C12" s="206">
        <v>144919.84</v>
      </c>
      <c r="D12" s="207">
        <v>136559.08000000002</v>
      </c>
      <c r="E12" s="207">
        <v>125411.40000000001</v>
      </c>
      <c r="F12" s="207">
        <v>85001.06</v>
      </c>
      <c r="G12" s="207">
        <v>142132.92</v>
      </c>
      <c r="H12" s="207">
        <v>147706.76</v>
      </c>
      <c r="I12" s="207">
        <v>150493.68</v>
      </c>
      <c r="J12" s="207">
        <v>144919.84</v>
      </c>
      <c r="K12" s="207">
        <v>153280.6</v>
      </c>
      <c r="L12" s="207">
        <v>151887.14</v>
      </c>
      <c r="M12" s="207">
        <v>140739.46</v>
      </c>
      <c r="N12" s="207">
        <v>142132.92</v>
      </c>
      <c r="O12" s="208">
        <v>1665184.7000000002</v>
      </c>
    </row>
    <row r="13" spans="1:15" ht="12.75">
      <c r="A13" s="245"/>
      <c r="B13" s="204" t="s">
        <v>25</v>
      </c>
      <c r="C13" s="209">
        <v>-44092.880000000005</v>
      </c>
      <c r="D13" s="210">
        <v>-41549.06</v>
      </c>
      <c r="E13" s="210">
        <v>-38157.3</v>
      </c>
      <c r="F13" s="210">
        <v>-25862.170000000013</v>
      </c>
      <c r="G13" s="210">
        <v>-43244.94</v>
      </c>
      <c r="H13" s="210">
        <v>-44940.82000000001</v>
      </c>
      <c r="I13" s="210">
        <v>-45788.76000000001</v>
      </c>
      <c r="J13" s="210">
        <v>-44092.880000000005</v>
      </c>
      <c r="K13" s="210">
        <v>-46636.70000000001</v>
      </c>
      <c r="L13" s="210">
        <v>-46212.72999999998</v>
      </c>
      <c r="M13" s="210">
        <v>-42820.97</v>
      </c>
      <c r="N13" s="210">
        <v>-43244.94</v>
      </c>
      <c r="O13" s="211">
        <v>-506644.1500000001</v>
      </c>
    </row>
    <row r="14" spans="1:15" ht="12.75">
      <c r="A14" s="245"/>
      <c r="B14" s="204" t="s">
        <v>26</v>
      </c>
      <c r="C14" s="209">
        <v>-2175.1929106575963</v>
      </c>
      <c r="D14" s="210">
        <v>-2049.7010119658116</v>
      </c>
      <c r="E14" s="210">
        <v>-1882.378480376766</v>
      </c>
      <c r="F14" s="210">
        <v>-1275.8343033664748</v>
      </c>
      <c r="G14" s="210">
        <v>-2133.362277760335</v>
      </c>
      <c r="H14" s="210">
        <v>-2217.023543554858</v>
      </c>
      <c r="I14" s="210">
        <v>-2258.854176452119</v>
      </c>
      <c r="J14" s="210">
        <v>-2175.1929106575963</v>
      </c>
      <c r="K14" s="210">
        <v>-2300.684809349381</v>
      </c>
      <c r="L14" s="210">
        <v>-2279.76949290075</v>
      </c>
      <c r="M14" s="210">
        <v>-2112.446961311704</v>
      </c>
      <c r="N14" s="210">
        <v>-2133.362277760335</v>
      </c>
      <c r="O14" s="211">
        <v>-24993.80315611372</v>
      </c>
    </row>
    <row r="15" spans="1:15" ht="12.75">
      <c r="A15" s="245"/>
      <c r="B15" s="204" t="s">
        <v>27</v>
      </c>
      <c r="C15" s="209">
        <v>-27597.992910657616</v>
      </c>
      <c r="D15" s="210">
        <v>-26005.801011965814</v>
      </c>
      <c r="E15" s="210">
        <v>-23882.87848037675</v>
      </c>
      <c r="F15" s="210">
        <v>-16187.284303366487</v>
      </c>
      <c r="G15" s="210">
        <v>-27067.262277760332</v>
      </c>
      <c r="H15" s="210">
        <v>-28128.723543554872</v>
      </c>
      <c r="I15" s="210">
        <v>-28659.454176452127</v>
      </c>
      <c r="J15" s="210">
        <v>-27597.992910657616</v>
      </c>
      <c r="K15" s="210">
        <v>-29190.184809349383</v>
      </c>
      <c r="L15" s="210">
        <v>-28924.819492900737</v>
      </c>
      <c r="M15" s="210">
        <v>-26801.896961311715</v>
      </c>
      <c r="N15" s="210">
        <v>-27067.262277760332</v>
      </c>
      <c r="O15" s="211">
        <v>-317111.5531561137</v>
      </c>
    </row>
    <row r="16" spans="1:15" ht="12.75">
      <c r="A16" s="245"/>
      <c r="B16" s="204" t="s">
        <v>49</v>
      </c>
      <c r="C16" s="212">
        <v>189012.72</v>
      </c>
      <c r="D16" s="190">
        <v>178108.14</v>
      </c>
      <c r="E16" s="190">
        <v>163568.7</v>
      </c>
      <c r="F16" s="190">
        <v>110863.23000000001</v>
      </c>
      <c r="G16" s="190">
        <v>185377.86000000002</v>
      </c>
      <c r="H16" s="190">
        <v>192647.58000000002</v>
      </c>
      <c r="I16" s="190">
        <v>196282.44</v>
      </c>
      <c r="J16" s="190">
        <v>189012.72</v>
      </c>
      <c r="K16" s="190">
        <v>199917.30000000002</v>
      </c>
      <c r="L16" s="190">
        <v>198099.87</v>
      </c>
      <c r="M16" s="190">
        <v>183560.43</v>
      </c>
      <c r="N16" s="190">
        <v>185377.86000000002</v>
      </c>
      <c r="O16" s="213">
        <v>2171828.85</v>
      </c>
    </row>
    <row r="17" spans="1:15" ht="12.75">
      <c r="A17" s="245"/>
      <c r="B17" s="204" t="s">
        <v>88</v>
      </c>
      <c r="C17" s="212">
        <v>170342.64</v>
      </c>
      <c r="D17" s="190">
        <v>160515.18000000002</v>
      </c>
      <c r="E17" s="190">
        <v>147411.9</v>
      </c>
      <c r="F17" s="190">
        <v>99912.51000000001</v>
      </c>
      <c r="G17" s="190">
        <v>167066.82</v>
      </c>
      <c r="H17" s="190">
        <v>173618.46000000002</v>
      </c>
      <c r="I17" s="190">
        <v>176894.28</v>
      </c>
      <c r="J17" s="190">
        <v>170342.64</v>
      </c>
      <c r="K17" s="190">
        <v>180170.1</v>
      </c>
      <c r="L17" s="190">
        <v>178532.19</v>
      </c>
      <c r="M17" s="190">
        <v>165428.91</v>
      </c>
      <c r="N17" s="190">
        <v>167066.82</v>
      </c>
      <c r="O17" s="213">
        <v>1957302.4500000002</v>
      </c>
    </row>
    <row r="18" spans="1:15" ht="12.75">
      <c r="A18" s="245"/>
      <c r="B18" s="204" t="s">
        <v>90</v>
      </c>
      <c r="C18" s="212">
        <v>-18670.079999999987</v>
      </c>
      <c r="D18" s="190">
        <v>-17592.959999999992</v>
      </c>
      <c r="E18" s="190">
        <v>-16156.800000000017</v>
      </c>
      <c r="F18" s="190">
        <v>-10950.720000000001</v>
      </c>
      <c r="G18" s="190">
        <v>-18311.040000000008</v>
      </c>
      <c r="H18" s="190">
        <v>-19029.119999999995</v>
      </c>
      <c r="I18" s="190">
        <v>-19388.160000000003</v>
      </c>
      <c r="J18" s="190">
        <v>-18670.079999999987</v>
      </c>
      <c r="K18" s="190">
        <v>-19747.20000000001</v>
      </c>
      <c r="L18" s="190">
        <v>-19567.679999999993</v>
      </c>
      <c r="M18" s="190">
        <v>-18131.51999999999</v>
      </c>
      <c r="N18" s="190">
        <v>-18311.040000000008</v>
      </c>
      <c r="O18" s="213">
        <v>-214526.4</v>
      </c>
    </row>
    <row r="19" spans="1:15" ht="12.75">
      <c r="A19" s="197" t="s">
        <v>13</v>
      </c>
      <c r="B19" s="197" t="s">
        <v>70</v>
      </c>
      <c r="C19" s="206">
        <v>1776661.5</v>
      </c>
      <c r="D19" s="207">
        <v>1202555.98</v>
      </c>
      <c r="E19" s="207">
        <v>987963.14</v>
      </c>
      <c r="F19" s="207">
        <v>692549.62</v>
      </c>
      <c r="G19" s="207">
        <v>1110587.62</v>
      </c>
      <c r="H19" s="207">
        <v>1205342.9000000001</v>
      </c>
      <c r="I19" s="207">
        <v>1293130.8800000001</v>
      </c>
      <c r="J19" s="207">
        <v>1166326.02</v>
      </c>
      <c r="K19" s="207">
        <v>1116161.46</v>
      </c>
      <c r="L19" s="207">
        <v>935011.66</v>
      </c>
      <c r="M19" s="207">
        <v>1249933.62</v>
      </c>
      <c r="N19" s="207">
        <v>1224851.34</v>
      </c>
      <c r="O19" s="208">
        <v>13961075.740000002</v>
      </c>
    </row>
    <row r="20" spans="1:15" ht="12.75">
      <c r="A20" s="245"/>
      <c r="B20" s="204" t="s">
        <v>25</v>
      </c>
      <c r="C20" s="209">
        <v>-540561.75</v>
      </c>
      <c r="D20" s="210">
        <v>-365886.1100000001</v>
      </c>
      <c r="E20" s="210">
        <v>-300594.7300000001</v>
      </c>
      <c r="F20" s="210">
        <v>-210713.09000000008</v>
      </c>
      <c r="G20" s="210">
        <v>-337904.08999999985</v>
      </c>
      <c r="H20" s="210">
        <v>-366734.0499999998</v>
      </c>
      <c r="I20" s="210">
        <v>-393444.1599999999</v>
      </c>
      <c r="J20" s="210">
        <v>-354862.89000000013</v>
      </c>
      <c r="K20" s="210">
        <v>-339599.97</v>
      </c>
      <c r="L20" s="210">
        <v>-284483.87</v>
      </c>
      <c r="M20" s="210">
        <v>-380301.08999999985</v>
      </c>
      <c r="N20" s="210">
        <v>-372669.6299999999</v>
      </c>
      <c r="O20" s="211">
        <v>-4247755.430000001</v>
      </c>
    </row>
    <row r="21" spans="1:15" ht="12.75">
      <c r="A21" s="245"/>
      <c r="B21" s="204" t="s">
        <v>26</v>
      </c>
      <c r="C21" s="209">
        <v>-26667.028472004185</v>
      </c>
      <c r="D21" s="210">
        <v>-18049.918095168323</v>
      </c>
      <c r="E21" s="210">
        <v>-14828.95936207919</v>
      </c>
      <c r="F21" s="210">
        <v>-10394.912274969474</v>
      </c>
      <c r="G21" s="210">
        <v>-16669.507209558695</v>
      </c>
      <c r="H21" s="210">
        <v>-18091.748728065584</v>
      </c>
      <c r="I21" s="210">
        <v>-19409.41366432932</v>
      </c>
      <c r="J21" s="210">
        <v>-17506.119867503923</v>
      </c>
      <c r="K21" s="210">
        <v>-16753.168475353217</v>
      </c>
      <c r="L21" s="210">
        <v>-14034.177337031222</v>
      </c>
      <c r="M21" s="210">
        <v>-18761.038854421768</v>
      </c>
      <c r="N21" s="210">
        <v>-18384.563158346416</v>
      </c>
      <c r="O21" s="211">
        <v>-209550.55549883132</v>
      </c>
    </row>
    <row r="22" spans="1:15" ht="12.75">
      <c r="A22" s="245"/>
      <c r="B22" s="204" t="s">
        <v>27</v>
      </c>
      <c r="C22" s="209">
        <v>-338340.7784720042</v>
      </c>
      <c r="D22" s="210">
        <v>-229010.2680951684</v>
      </c>
      <c r="E22" s="210">
        <v>-188144.00936207914</v>
      </c>
      <c r="F22" s="210">
        <v>-131886.5622749695</v>
      </c>
      <c r="G22" s="210">
        <v>-211496.1572095586</v>
      </c>
      <c r="H22" s="210">
        <v>-229540.99872806558</v>
      </c>
      <c r="I22" s="210">
        <v>-246259.0136643292</v>
      </c>
      <c r="J22" s="210">
        <v>-222110.76986750407</v>
      </c>
      <c r="K22" s="210">
        <v>-212557.6184753534</v>
      </c>
      <c r="L22" s="210">
        <v>-178060.1273370313</v>
      </c>
      <c r="M22" s="210">
        <v>-238032.68885442166</v>
      </c>
      <c r="N22" s="210">
        <v>-233256.11315834644</v>
      </c>
      <c r="O22" s="211">
        <v>-2658695.1054988313</v>
      </c>
    </row>
    <row r="23" spans="1:15" ht="12.75">
      <c r="A23" s="245"/>
      <c r="B23" s="204" t="s">
        <v>49</v>
      </c>
      <c r="C23" s="212">
        <v>2317223.25</v>
      </c>
      <c r="D23" s="190">
        <v>1568442.09</v>
      </c>
      <c r="E23" s="190">
        <v>1288557.87</v>
      </c>
      <c r="F23" s="190">
        <v>903262.7100000001</v>
      </c>
      <c r="G23" s="190">
        <v>1448491.71</v>
      </c>
      <c r="H23" s="190">
        <v>1572076.95</v>
      </c>
      <c r="I23" s="190">
        <v>1686575.04</v>
      </c>
      <c r="J23" s="190">
        <v>1521188.9100000001</v>
      </c>
      <c r="K23" s="190">
        <v>1455761.43</v>
      </c>
      <c r="L23" s="190">
        <v>1219495.53</v>
      </c>
      <c r="M23" s="190">
        <v>1630234.71</v>
      </c>
      <c r="N23" s="190">
        <v>1597520.97</v>
      </c>
      <c r="O23" s="213">
        <v>18208831.169999998</v>
      </c>
    </row>
    <row r="24" spans="1:15" ht="12.75">
      <c r="A24" s="245"/>
      <c r="B24" s="204" t="s">
        <v>88</v>
      </c>
      <c r="C24" s="212">
        <v>2088335.25</v>
      </c>
      <c r="D24" s="190">
        <v>1413516.33</v>
      </c>
      <c r="E24" s="190">
        <v>1161278.19</v>
      </c>
      <c r="F24" s="190">
        <v>814041.27</v>
      </c>
      <c r="G24" s="190">
        <v>1305414.27</v>
      </c>
      <c r="H24" s="190">
        <v>1416792.1500000001</v>
      </c>
      <c r="I24" s="190">
        <v>1519980.48</v>
      </c>
      <c r="J24" s="190">
        <v>1370930.6700000002</v>
      </c>
      <c r="K24" s="190">
        <v>1311965.9100000001</v>
      </c>
      <c r="L24" s="190">
        <v>1099037.61</v>
      </c>
      <c r="M24" s="190">
        <v>1469205.27</v>
      </c>
      <c r="N24" s="190">
        <v>1439722.8900000001</v>
      </c>
      <c r="O24" s="213">
        <v>16410220.29</v>
      </c>
    </row>
    <row r="25" spans="1:15" ht="12.75">
      <c r="A25" s="245"/>
      <c r="B25" s="204" t="s">
        <v>90</v>
      </c>
      <c r="C25" s="212">
        <v>-228888</v>
      </c>
      <c r="D25" s="190">
        <v>-154925.76</v>
      </c>
      <c r="E25" s="190">
        <v>-127279.68000000017</v>
      </c>
      <c r="F25" s="190">
        <v>-89221.44000000006</v>
      </c>
      <c r="G25" s="190">
        <v>-143077.43999999994</v>
      </c>
      <c r="H25" s="190">
        <v>-155284.7999999998</v>
      </c>
      <c r="I25" s="190">
        <v>-166594.56000000006</v>
      </c>
      <c r="J25" s="190">
        <v>-150258.24</v>
      </c>
      <c r="K25" s="190">
        <v>-143795.5199999998</v>
      </c>
      <c r="L25" s="190">
        <v>-120457.91999999993</v>
      </c>
      <c r="M25" s="190">
        <v>-161029.43999999994</v>
      </c>
      <c r="N25" s="190">
        <v>-157798.07999999984</v>
      </c>
      <c r="O25" s="213">
        <v>-1798610.8799999997</v>
      </c>
    </row>
    <row r="26" spans="1:15" ht="12.75">
      <c r="A26" s="197" t="s">
        <v>15</v>
      </c>
      <c r="B26" s="197" t="s">
        <v>70</v>
      </c>
      <c r="C26" s="206">
        <v>12541.14</v>
      </c>
      <c r="D26" s="207">
        <v>9754.220000000001</v>
      </c>
      <c r="E26" s="207">
        <v>8360.76</v>
      </c>
      <c r="F26" s="207">
        <v>11147.68</v>
      </c>
      <c r="G26" s="207">
        <v>15328.060000000001</v>
      </c>
      <c r="H26" s="207">
        <v>19508.440000000002</v>
      </c>
      <c r="I26" s="207">
        <v>25082.28</v>
      </c>
      <c r="J26" s="207">
        <v>20901.9</v>
      </c>
      <c r="K26" s="207">
        <v>9754.220000000001</v>
      </c>
      <c r="L26" s="207">
        <v>9754.220000000001</v>
      </c>
      <c r="M26" s="207">
        <v>9754.220000000001</v>
      </c>
      <c r="N26" s="207">
        <v>9754.220000000001</v>
      </c>
      <c r="O26" s="208">
        <v>161641.36000000002</v>
      </c>
    </row>
    <row r="27" spans="1:15" ht="12.75">
      <c r="A27" s="245"/>
      <c r="B27" s="204" t="s">
        <v>25</v>
      </c>
      <c r="C27" s="209">
        <v>-3815.7300000000014</v>
      </c>
      <c r="D27" s="210">
        <v>-2967.789999999999</v>
      </c>
      <c r="E27" s="210">
        <v>-2543.8199999999997</v>
      </c>
      <c r="F27" s="210">
        <v>-3391.76</v>
      </c>
      <c r="G27" s="210">
        <v>-4663.669999999998</v>
      </c>
      <c r="H27" s="210">
        <v>-5935.579999999998</v>
      </c>
      <c r="I27" s="210">
        <v>-7631.460000000003</v>
      </c>
      <c r="J27" s="210">
        <v>-6359.549999999999</v>
      </c>
      <c r="K27" s="210">
        <v>-2967.789999999999</v>
      </c>
      <c r="L27" s="210">
        <v>-2967.789999999999</v>
      </c>
      <c r="M27" s="210">
        <v>-2967.789999999999</v>
      </c>
      <c r="N27" s="210">
        <v>-2967.789999999999</v>
      </c>
      <c r="O27" s="211">
        <v>-49180.520000000004</v>
      </c>
    </row>
    <row r="28" spans="1:15" ht="12.75">
      <c r="A28" s="245"/>
      <c r="B28" s="204" t="s">
        <v>26</v>
      </c>
      <c r="C28" s="209">
        <v>-188.2378480376766</v>
      </c>
      <c r="D28" s="210">
        <v>-146.40721514041513</v>
      </c>
      <c r="E28" s="210">
        <v>-125.4918986917844</v>
      </c>
      <c r="F28" s="210">
        <v>-167.32253158904587</v>
      </c>
      <c r="G28" s="210">
        <v>-230.06848093493807</v>
      </c>
      <c r="H28" s="210">
        <v>-292.81443028083027</v>
      </c>
      <c r="I28" s="210">
        <v>-376.4756960753532</v>
      </c>
      <c r="J28" s="210">
        <v>-313.729746729461</v>
      </c>
      <c r="K28" s="210">
        <v>-146.40721514041513</v>
      </c>
      <c r="L28" s="210">
        <v>-146.40721514041513</v>
      </c>
      <c r="M28" s="210">
        <v>-146.40721514041513</v>
      </c>
      <c r="N28" s="210">
        <v>-146.40721514041513</v>
      </c>
      <c r="O28" s="211">
        <v>-2426.1767080411655</v>
      </c>
    </row>
    <row r="29" spans="1:15" ht="12.75">
      <c r="A29" s="245"/>
      <c r="B29" s="204" t="s">
        <v>27</v>
      </c>
      <c r="C29" s="209">
        <v>-2388.2878480376776</v>
      </c>
      <c r="D29" s="210">
        <v>-1857.5572151404149</v>
      </c>
      <c r="E29" s="210">
        <v>-1592.1918986917854</v>
      </c>
      <c r="F29" s="210">
        <v>-2122.9225315890462</v>
      </c>
      <c r="G29" s="210">
        <v>-2919.0184809349385</v>
      </c>
      <c r="H29" s="210">
        <v>-3715.1144302808298</v>
      </c>
      <c r="I29" s="210">
        <v>-4776.575696075355</v>
      </c>
      <c r="J29" s="210">
        <v>-3980.479746729461</v>
      </c>
      <c r="K29" s="210">
        <v>-1857.5572151404149</v>
      </c>
      <c r="L29" s="210">
        <v>-1857.5572151404149</v>
      </c>
      <c r="M29" s="210">
        <v>-1857.5572151404149</v>
      </c>
      <c r="N29" s="210">
        <v>-1857.5572151404149</v>
      </c>
      <c r="O29" s="211">
        <v>-30782.37670804117</v>
      </c>
    </row>
    <row r="30" spans="1:15" ht="12.75">
      <c r="A30" s="245"/>
      <c r="B30" s="204" t="s">
        <v>49</v>
      </c>
      <c r="C30" s="212">
        <v>16356.87</v>
      </c>
      <c r="D30" s="190">
        <v>12722.01</v>
      </c>
      <c r="E30" s="190">
        <v>10904.58</v>
      </c>
      <c r="F30" s="190">
        <v>14539.44</v>
      </c>
      <c r="G30" s="190">
        <v>19991.73</v>
      </c>
      <c r="H30" s="190">
        <v>25444.02</v>
      </c>
      <c r="I30" s="190">
        <v>32713.74</v>
      </c>
      <c r="J30" s="190">
        <v>27261.45</v>
      </c>
      <c r="K30" s="190">
        <v>12722.01</v>
      </c>
      <c r="L30" s="190">
        <v>12722.01</v>
      </c>
      <c r="M30" s="190">
        <v>12722.01</v>
      </c>
      <c r="N30" s="190">
        <v>12722.01</v>
      </c>
      <c r="O30" s="213">
        <v>210821.88000000006</v>
      </c>
    </row>
    <row r="31" spans="1:15" ht="12.75">
      <c r="A31" s="245"/>
      <c r="B31" s="204" t="s">
        <v>88</v>
      </c>
      <c r="C31" s="212">
        <v>14741.19</v>
      </c>
      <c r="D31" s="190">
        <v>11465.37</v>
      </c>
      <c r="E31" s="190">
        <v>9827.460000000001</v>
      </c>
      <c r="F31" s="190">
        <v>13103.28</v>
      </c>
      <c r="G31" s="190">
        <v>18017.010000000002</v>
      </c>
      <c r="H31" s="190">
        <v>22930.74</v>
      </c>
      <c r="I31" s="190">
        <v>29482.38</v>
      </c>
      <c r="J31" s="190">
        <v>24568.65</v>
      </c>
      <c r="K31" s="190">
        <v>11465.37</v>
      </c>
      <c r="L31" s="190">
        <v>11465.37</v>
      </c>
      <c r="M31" s="190">
        <v>11465.37</v>
      </c>
      <c r="N31" s="190">
        <v>11465.37</v>
      </c>
      <c r="O31" s="213">
        <v>189997.56</v>
      </c>
    </row>
    <row r="32" spans="1:15" ht="12.75">
      <c r="A32" s="245"/>
      <c r="B32" s="204" t="s">
        <v>90</v>
      </c>
      <c r="C32" s="212">
        <v>-1615.6800000000003</v>
      </c>
      <c r="D32" s="190">
        <v>-1256.6399999999994</v>
      </c>
      <c r="E32" s="190">
        <v>-1077.119999999999</v>
      </c>
      <c r="F32" s="190">
        <v>-1436.1599999999999</v>
      </c>
      <c r="G32" s="190">
        <v>-1974.7199999999975</v>
      </c>
      <c r="H32" s="190">
        <v>-2513.279999999999</v>
      </c>
      <c r="I32" s="190">
        <v>-3231.3600000000006</v>
      </c>
      <c r="J32" s="190">
        <v>-2692.7999999999993</v>
      </c>
      <c r="K32" s="190">
        <v>-1256.6399999999994</v>
      </c>
      <c r="L32" s="190">
        <v>-1256.6399999999994</v>
      </c>
      <c r="M32" s="190">
        <v>-1256.6399999999994</v>
      </c>
      <c r="N32" s="190">
        <v>-1256.6399999999994</v>
      </c>
      <c r="O32" s="213">
        <v>-20824.319999999992</v>
      </c>
    </row>
    <row r="33" spans="1:15" ht="12.75">
      <c r="A33" s="197" t="s">
        <v>16</v>
      </c>
      <c r="B33" s="197" t="s">
        <v>70</v>
      </c>
      <c r="C33" s="206">
        <v>2786.92</v>
      </c>
      <c r="D33" s="207">
        <v>2786.92</v>
      </c>
      <c r="E33" s="207">
        <v>1393.46</v>
      </c>
      <c r="F33" s="207">
        <v>1393.46</v>
      </c>
      <c r="G33" s="207">
        <v>5573.84</v>
      </c>
      <c r="H33" s="207">
        <v>4180.38</v>
      </c>
      <c r="I33" s="207">
        <v>5573.84</v>
      </c>
      <c r="J33" s="207">
        <v>8360.76</v>
      </c>
      <c r="K33" s="207">
        <v>2786.92</v>
      </c>
      <c r="L33" s="207">
        <v>2786.92</v>
      </c>
      <c r="M33" s="207">
        <v>4180.38</v>
      </c>
      <c r="N33" s="207">
        <v>2786.92</v>
      </c>
      <c r="O33" s="208">
        <v>44590.719999999994</v>
      </c>
    </row>
    <row r="34" spans="1:15" ht="12.75">
      <c r="A34" s="245"/>
      <c r="B34" s="204" t="s">
        <v>25</v>
      </c>
      <c r="C34" s="209">
        <v>-847.94</v>
      </c>
      <c r="D34" s="210">
        <v>-847.94</v>
      </c>
      <c r="E34" s="210">
        <v>-423.97</v>
      </c>
      <c r="F34" s="210">
        <v>-423.97</v>
      </c>
      <c r="G34" s="210">
        <v>-1695.88</v>
      </c>
      <c r="H34" s="210">
        <v>-1271.9099999999999</v>
      </c>
      <c r="I34" s="210">
        <v>-1695.88</v>
      </c>
      <c r="J34" s="210">
        <v>-2543.8199999999997</v>
      </c>
      <c r="K34" s="210">
        <v>-847.94</v>
      </c>
      <c r="L34" s="210">
        <v>-847.94</v>
      </c>
      <c r="M34" s="210">
        <v>-1271.9099999999999</v>
      </c>
      <c r="N34" s="210">
        <v>-847.94</v>
      </c>
      <c r="O34" s="211">
        <v>-13567.040000000003</v>
      </c>
    </row>
    <row r="35" spans="1:15" ht="12.75">
      <c r="A35" s="245"/>
      <c r="B35" s="204" t="s">
        <v>26</v>
      </c>
      <c r="C35" s="209">
        <v>-41.83063289726147</v>
      </c>
      <c r="D35" s="210">
        <v>-41.83063289726147</v>
      </c>
      <c r="E35" s="210">
        <v>-20.915316448630733</v>
      </c>
      <c r="F35" s="210">
        <v>-20.915316448630733</v>
      </c>
      <c r="G35" s="210">
        <v>-83.66126579452293</v>
      </c>
      <c r="H35" s="210">
        <v>-62.7459493458922</v>
      </c>
      <c r="I35" s="210">
        <v>-83.66126579452293</v>
      </c>
      <c r="J35" s="210">
        <v>-125.4918986917844</v>
      </c>
      <c r="K35" s="210">
        <v>-41.83063289726147</v>
      </c>
      <c r="L35" s="210">
        <v>-41.83063289726147</v>
      </c>
      <c r="M35" s="210">
        <v>-62.7459493458922</v>
      </c>
      <c r="N35" s="210">
        <v>-41.83063289726147</v>
      </c>
      <c r="O35" s="211">
        <v>-669.2901263561835</v>
      </c>
    </row>
    <row r="36" spans="1:15" ht="12.75">
      <c r="A36" s="245"/>
      <c r="B36" s="204" t="s">
        <v>27</v>
      </c>
      <c r="C36" s="209">
        <v>-530.7306328972616</v>
      </c>
      <c r="D36" s="210">
        <v>-530.7306328972616</v>
      </c>
      <c r="E36" s="210">
        <v>-265.3653164486308</v>
      </c>
      <c r="F36" s="210">
        <v>-265.3653164486308</v>
      </c>
      <c r="G36" s="210">
        <v>-1061.4612657945231</v>
      </c>
      <c r="H36" s="210">
        <v>-796.0959493458927</v>
      </c>
      <c r="I36" s="210">
        <v>-1061.4612657945231</v>
      </c>
      <c r="J36" s="210">
        <v>-1592.1918986917854</v>
      </c>
      <c r="K36" s="210">
        <v>-530.7306328972616</v>
      </c>
      <c r="L36" s="210">
        <v>-530.7306328972616</v>
      </c>
      <c r="M36" s="210">
        <v>-796.0959493458927</v>
      </c>
      <c r="N36" s="210">
        <v>-530.7306328972616</v>
      </c>
      <c r="O36" s="211">
        <v>-8491.690126356187</v>
      </c>
    </row>
    <row r="37" spans="1:15" ht="12.75">
      <c r="A37" s="245"/>
      <c r="B37" s="204" t="s">
        <v>49</v>
      </c>
      <c r="C37" s="212">
        <v>3634.86</v>
      </c>
      <c r="D37" s="190">
        <v>3634.86</v>
      </c>
      <c r="E37" s="190">
        <v>1817.43</v>
      </c>
      <c r="F37" s="190">
        <v>1817.43</v>
      </c>
      <c r="G37" s="190">
        <v>7269.72</v>
      </c>
      <c r="H37" s="190">
        <v>5452.29</v>
      </c>
      <c r="I37" s="190">
        <v>7269.72</v>
      </c>
      <c r="J37" s="190">
        <v>10904.58</v>
      </c>
      <c r="K37" s="190">
        <v>3634.86</v>
      </c>
      <c r="L37" s="190">
        <v>3634.86</v>
      </c>
      <c r="M37" s="190">
        <v>5452.29</v>
      </c>
      <c r="N37" s="190">
        <v>3634.86</v>
      </c>
      <c r="O37" s="213">
        <v>58157.76</v>
      </c>
    </row>
    <row r="38" spans="1:15" ht="12.75">
      <c r="A38" s="245"/>
      <c r="B38" s="204" t="s">
        <v>88</v>
      </c>
      <c r="C38" s="212">
        <v>3275.82</v>
      </c>
      <c r="D38" s="190">
        <v>3275.82</v>
      </c>
      <c r="E38" s="190">
        <v>1637.91</v>
      </c>
      <c r="F38" s="190">
        <v>1637.91</v>
      </c>
      <c r="G38" s="190">
        <v>6551.64</v>
      </c>
      <c r="H38" s="190">
        <v>4913.7300000000005</v>
      </c>
      <c r="I38" s="190">
        <v>6551.64</v>
      </c>
      <c r="J38" s="190">
        <v>9827.460000000001</v>
      </c>
      <c r="K38" s="190">
        <v>3275.82</v>
      </c>
      <c r="L38" s="190">
        <v>3275.82</v>
      </c>
      <c r="M38" s="190">
        <v>4913.7300000000005</v>
      </c>
      <c r="N38" s="190">
        <v>3275.82</v>
      </c>
      <c r="O38" s="213">
        <v>52413.12</v>
      </c>
    </row>
    <row r="39" spans="1:15" ht="12.75">
      <c r="A39" s="245"/>
      <c r="B39" s="204" t="s">
        <v>90</v>
      </c>
      <c r="C39" s="212">
        <v>-359.03999999999996</v>
      </c>
      <c r="D39" s="190">
        <v>-359.03999999999996</v>
      </c>
      <c r="E39" s="190">
        <v>-179.51999999999998</v>
      </c>
      <c r="F39" s="190">
        <v>-179.51999999999998</v>
      </c>
      <c r="G39" s="190">
        <v>-718.0799999999999</v>
      </c>
      <c r="H39" s="190">
        <v>-538.5599999999995</v>
      </c>
      <c r="I39" s="190">
        <v>-718.0799999999999</v>
      </c>
      <c r="J39" s="190">
        <v>-1077.119999999999</v>
      </c>
      <c r="K39" s="190">
        <v>-359.03999999999996</v>
      </c>
      <c r="L39" s="190">
        <v>-359.03999999999996</v>
      </c>
      <c r="M39" s="190">
        <v>-538.5599999999995</v>
      </c>
      <c r="N39" s="190">
        <v>-359.03999999999996</v>
      </c>
      <c r="O39" s="213">
        <v>-5744.639999999998</v>
      </c>
    </row>
    <row r="40" spans="1:15" ht="12.75">
      <c r="A40" s="197" t="s">
        <v>19</v>
      </c>
      <c r="B40" s="197" t="s">
        <v>70</v>
      </c>
      <c r="C40" s="206">
        <v>29262.66</v>
      </c>
      <c r="D40" s="207">
        <v>16721.52</v>
      </c>
      <c r="E40" s="207">
        <v>30656.120000000003</v>
      </c>
      <c r="F40" s="207">
        <v>20901.9</v>
      </c>
      <c r="G40" s="207">
        <v>32049.58</v>
      </c>
      <c r="H40" s="207">
        <v>26475.74</v>
      </c>
      <c r="I40" s="207">
        <v>26475.74</v>
      </c>
      <c r="J40" s="207">
        <v>25082.28</v>
      </c>
      <c r="K40" s="207">
        <v>18114.98</v>
      </c>
      <c r="L40" s="207">
        <v>20901.9</v>
      </c>
      <c r="M40" s="207">
        <v>30656.120000000003</v>
      </c>
      <c r="N40" s="207">
        <v>27869.2</v>
      </c>
      <c r="O40" s="208">
        <v>305167.74000000005</v>
      </c>
    </row>
    <row r="41" spans="1:15" ht="12.75">
      <c r="A41" s="245"/>
      <c r="B41" s="204" t="s">
        <v>25</v>
      </c>
      <c r="C41" s="209">
        <v>-8903.369999999999</v>
      </c>
      <c r="D41" s="210">
        <v>-5087.639999999999</v>
      </c>
      <c r="E41" s="210">
        <v>-9327.339999999997</v>
      </c>
      <c r="F41" s="210">
        <v>-6359.549999999999</v>
      </c>
      <c r="G41" s="210">
        <v>-9751.309999999998</v>
      </c>
      <c r="H41" s="210">
        <v>-8055.429999999997</v>
      </c>
      <c r="I41" s="210">
        <v>-8055.429999999997</v>
      </c>
      <c r="J41" s="210">
        <v>-7631.460000000003</v>
      </c>
      <c r="K41" s="210">
        <v>-5511.610000000001</v>
      </c>
      <c r="L41" s="210">
        <v>-6359.549999999999</v>
      </c>
      <c r="M41" s="210">
        <v>-9327.339999999997</v>
      </c>
      <c r="N41" s="210">
        <v>-8479.399999999998</v>
      </c>
      <c r="O41" s="211">
        <v>-92849.42999999998</v>
      </c>
    </row>
    <row r="42" spans="1:15" ht="12.75">
      <c r="A42" s="245"/>
      <c r="B42" s="204" t="s">
        <v>26</v>
      </c>
      <c r="C42" s="209">
        <v>-439.2216454212454</v>
      </c>
      <c r="D42" s="210">
        <v>-250.9837973835688</v>
      </c>
      <c r="E42" s="210">
        <v>-460.13696186987613</v>
      </c>
      <c r="F42" s="210">
        <v>-313.729746729461</v>
      </c>
      <c r="G42" s="210">
        <v>-481.05227831850686</v>
      </c>
      <c r="H42" s="210">
        <v>-397.39101252398393</v>
      </c>
      <c r="I42" s="210">
        <v>-397.39101252398393</v>
      </c>
      <c r="J42" s="210">
        <v>-376.4756960753532</v>
      </c>
      <c r="K42" s="210">
        <v>-271.89911383219953</v>
      </c>
      <c r="L42" s="210">
        <v>-313.729746729461</v>
      </c>
      <c r="M42" s="210">
        <v>-460.13696186987613</v>
      </c>
      <c r="N42" s="210">
        <v>-418.30632897261466</v>
      </c>
      <c r="O42" s="211">
        <v>-4580.454302250131</v>
      </c>
    </row>
    <row r="43" spans="1:15" ht="12.75">
      <c r="A43" s="245"/>
      <c r="B43" s="204" t="s">
        <v>27</v>
      </c>
      <c r="C43" s="209">
        <v>-5572.671645421246</v>
      </c>
      <c r="D43" s="210">
        <v>-3184.3837973835707</v>
      </c>
      <c r="E43" s="210">
        <v>-5838.036961869877</v>
      </c>
      <c r="F43" s="210">
        <v>-3980.479746729461</v>
      </c>
      <c r="G43" s="210">
        <v>-6103.402278318505</v>
      </c>
      <c r="H43" s="210">
        <v>-5041.941012523983</v>
      </c>
      <c r="I43" s="210">
        <v>-5041.941012523983</v>
      </c>
      <c r="J43" s="210">
        <v>-4776.575696075355</v>
      </c>
      <c r="K43" s="210">
        <v>-3449.749113832202</v>
      </c>
      <c r="L43" s="210">
        <v>-3980.479746729461</v>
      </c>
      <c r="M43" s="210">
        <v>-5838.036961869877</v>
      </c>
      <c r="N43" s="210">
        <v>-5307.306328972614</v>
      </c>
      <c r="O43" s="211">
        <v>-58115.00430225013</v>
      </c>
    </row>
    <row r="44" spans="1:15" ht="12.75">
      <c r="A44" s="245"/>
      <c r="B44" s="204" t="s">
        <v>49</v>
      </c>
      <c r="C44" s="212">
        <v>38166.03</v>
      </c>
      <c r="D44" s="190">
        <v>21809.16</v>
      </c>
      <c r="E44" s="190">
        <v>39983.46</v>
      </c>
      <c r="F44" s="190">
        <v>27261.45</v>
      </c>
      <c r="G44" s="190">
        <v>41800.89</v>
      </c>
      <c r="H44" s="190">
        <v>34531.17</v>
      </c>
      <c r="I44" s="190">
        <v>34531.17</v>
      </c>
      <c r="J44" s="190">
        <v>32713.74</v>
      </c>
      <c r="K44" s="190">
        <v>23626.59</v>
      </c>
      <c r="L44" s="190">
        <v>27261.45</v>
      </c>
      <c r="M44" s="190">
        <v>39983.46</v>
      </c>
      <c r="N44" s="190">
        <v>36348.6</v>
      </c>
      <c r="O44" s="213">
        <v>398017.17</v>
      </c>
    </row>
    <row r="45" spans="1:15" ht="12.75">
      <c r="A45" s="245"/>
      <c r="B45" s="204" t="s">
        <v>88</v>
      </c>
      <c r="C45" s="212">
        <v>34396.11</v>
      </c>
      <c r="D45" s="190">
        <v>19654.920000000002</v>
      </c>
      <c r="E45" s="190">
        <v>36034.020000000004</v>
      </c>
      <c r="F45" s="190">
        <v>24568.65</v>
      </c>
      <c r="G45" s="190">
        <v>37671.93</v>
      </c>
      <c r="H45" s="190">
        <v>31120.29</v>
      </c>
      <c r="I45" s="190">
        <v>31120.29</v>
      </c>
      <c r="J45" s="190">
        <v>29482.38</v>
      </c>
      <c r="K45" s="190">
        <v>21292.83</v>
      </c>
      <c r="L45" s="190">
        <v>24568.65</v>
      </c>
      <c r="M45" s="190">
        <v>36034.020000000004</v>
      </c>
      <c r="N45" s="190">
        <v>32758.2</v>
      </c>
      <c r="O45" s="213">
        <v>358702.2900000001</v>
      </c>
    </row>
    <row r="46" spans="1:15" ht="12.75">
      <c r="A46" s="245"/>
      <c r="B46" s="204" t="s">
        <v>90</v>
      </c>
      <c r="C46" s="212">
        <v>-3769.9199999999983</v>
      </c>
      <c r="D46" s="190">
        <v>-2154.239999999998</v>
      </c>
      <c r="E46" s="190">
        <v>-3949.439999999995</v>
      </c>
      <c r="F46" s="190">
        <v>-2692.7999999999993</v>
      </c>
      <c r="G46" s="190">
        <v>-4128.959999999999</v>
      </c>
      <c r="H46" s="190">
        <v>-3410.8799999999974</v>
      </c>
      <c r="I46" s="190">
        <v>-3410.8799999999974</v>
      </c>
      <c r="J46" s="190">
        <v>-3231.3600000000006</v>
      </c>
      <c r="K46" s="190">
        <v>-2333.7599999999984</v>
      </c>
      <c r="L46" s="190">
        <v>-2692.7999999999993</v>
      </c>
      <c r="M46" s="190">
        <v>-3949.439999999995</v>
      </c>
      <c r="N46" s="190">
        <v>-3590.399999999998</v>
      </c>
      <c r="O46" s="213">
        <v>-39314.879999999976</v>
      </c>
    </row>
    <row r="47" spans="1:15" ht="12.75">
      <c r="A47" s="197" t="s">
        <v>8</v>
      </c>
      <c r="B47" s="197" t="s">
        <v>70</v>
      </c>
      <c r="C47" s="206">
        <v>137952.54</v>
      </c>
      <c r="D47" s="207">
        <v>117050.64</v>
      </c>
      <c r="E47" s="207">
        <v>94755.28</v>
      </c>
      <c r="F47" s="207">
        <v>103116.04000000001</v>
      </c>
      <c r="G47" s="207">
        <v>192297.48</v>
      </c>
      <c r="H47" s="207">
        <v>207625.54</v>
      </c>
      <c r="I47" s="207">
        <v>222953.6</v>
      </c>
      <c r="J47" s="207">
        <v>199264.78</v>
      </c>
      <c r="K47" s="207">
        <v>181149.80000000002</v>
      </c>
      <c r="L47" s="207">
        <v>163034.82</v>
      </c>
      <c r="M47" s="207">
        <v>103116.04000000001</v>
      </c>
      <c r="N47" s="207">
        <v>105902.96</v>
      </c>
      <c r="O47" s="208">
        <v>1828219.5200000003</v>
      </c>
    </row>
    <row r="48" spans="1:15" ht="12.75">
      <c r="A48" s="245"/>
      <c r="B48" s="204" t="s">
        <v>25</v>
      </c>
      <c r="C48" s="209">
        <v>-41973.03</v>
      </c>
      <c r="D48" s="210">
        <v>-35613.479999999996</v>
      </c>
      <c r="E48" s="210">
        <v>-28829.960000000006</v>
      </c>
      <c r="F48" s="210">
        <v>-31373.78</v>
      </c>
      <c r="G48" s="210">
        <v>-58507.859999999986</v>
      </c>
      <c r="H48" s="210">
        <v>-63171.53</v>
      </c>
      <c r="I48" s="210">
        <v>-67835.19999999998</v>
      </c>
      <c r="J48" s="210">
        <v>-60627.71000000002</v>
      </c>
      <c r="K48" s="210">
        <v>-55116.09999999998</v>
      </c>
      <c r="L48" s="210">
        <v>-49604.48999999999</v>
      </c>
      <c r="M48" s="210">
        <v>-31373.78</v>
      </c>
      <c r="N48" s="210">
        <v>-32221.719999999987</v>
      </c>
      <c r="O48" s="211">
        <v>-556248.6399999999</v>
      </c>
    </row>
    <row r="49" spans="1:15" ht="12.75">
      <c r="A49" s="245"/>
      <c r="B49" s="204" t="s">
        <v>26</v>
      </c>
      <c r="C49" s="209">
        <v>-2070.6163284144427</v>
      </c>
      <c r="D49" s="210">
        <v>-1756.8865816849816</v>
      </c>
      <c r="E49" s="210">
        <v>-1422.2415185068899</v>
      </c>
      <c r="F49" s="210">
        <v>-1547.7334171986743</v>
      </c>
      <c r="G49" s="210">
        <v>-2886.313669911041</v>
      </c>
      <c r="H49" s="210">
        <v>-3116.3821508459796</v>
      </c>
      <c r="I49" s="210">
        <v>-3346.4506317809173</v>
      </c>
      <c r="J49" s="210">
        <v>-2990.8902521541945</v>
      </c>
      <c r="K49" s="210">
        <v>-2718.9911383219955</v>
      </c>
      <c r="L49" s="210">
        <v>-2447.0920244897957</v>
      </c>
      <c r="M49" s="210">
        <v>-1547.7334171986743</v>
      </c>
      <c r="N49" s="210">
        <v>-1589.5640500959357</v>
      </c>
      <c r="O49" s="211">
        <v>-27440.89518060352</v>
      </c>
    </row>
    <row r="50" spans="1:15" ht="12.75">
      <c r="A50" s="245"/>
      <c r="B50" s="204" t="s">
        <v>27</v>
      </c>
      <c r="C50" s="209">
        <v>-26271.16632841443</v>
      </c>
      <c r="D50" s="210">
        <v>-22290.686581684982</v>
      </c>
      <c r="E50" s="210">
        <v>-18044.841518506895</v>
      </c>
      <c r="F50" s="210">
        <v>-19637.033417198676</v>
      </c>
      <c r="G50" s="210">
        <v>-36620.413669911046</v>
      </c>
      <c r="H50" s="210">
        <v>-39539.432150846</v>
      </c>
      <c r="I50" s="210">
        <v>-42458.450631780914</v>
      </c>
      <c r="J50" s="210">
        <v>-37947.2402521542</v>
      </c>
      <c r="K50" s="210">
        <v>-34497.491138321995</v>
      </c>
      <c r="L50" s="210">
        <v>-31047.742024489788</v>
      </c>
      <c r="M50" s="210">
        <v>-19637.033417198676</v>
      </c>
      <c r="N50" s="210">
        <v>-20167.76405009593</v>
      </c>
      <c r="O50" s="211">
        <v>-348159.29518060357</v>
      </c>
    </row>
    <row r="51" spans="1:15" ht="12.75">
      <c r="A51" s="245"/>
      <c r="B51" s="204" t="s">
        <v>49</v>
      </c>
      <c r="C51" s="212">
        <v>179925.57</v>
      </c>
      <c r="D51" s="190">
        <v>152664.12</v>
      </c>
      <c r="E51" s="190">
        <v>123585.24</v>
      </c>
      <c r="F51" s="190">
        <v>134489.82</v>
      </c>
      <c r="G51" s="190">
        <v>250805.34</v>
      </c>
      <c r="H51" s="190">
        <v>270797.07</v>
      </c>
      <c r="I51" s="190">
        <v>290788.8</v>
      </c>
      <c r="J51" s="190">
        <v>259892.49000000002</v>
      </c>
      <c r="K51" s="190">
        <v>236265.9</v>
      </c>
      <c r="L51" s="190">
        <v>212639.31</v>
      </c>
      <c r="M51" s="190">
        <v>134489.82</v>
      </c>
      <c r="N51" s="190">
        <v>138124.68</v>
      </c>
      <c r="O51" s="213">
        <v>2384468.1599999997</v>
      </c>
    </row>
    <row r="52" spans="1:15" ht="12.75">
      <c r="A52" s="245"/>
      <c r="B52" s="204" t="s">
        <v>88</v>
      </c>
      <c r="C52" s="212">
        <v>162153.09</v>
      </c>
      <c r="D52" s="190">
        <v>137584.44</v>
      </c>
      <c r="E52" s="190">
        <v>111377.88</v>
      </c>
      <c r="F52" s="190">
        <v>121205.34000000001</v>
      </c>
      <c r="G52" s="190">
        <v>226031.58000000002</v>
      </c>
      <c r="H52" s="190">
        <v>244048.59000000003</v>
      </c>
      <c r="I52" s="190">
        <v>262065.6</v>
      </c>
      <c r="J52" s="190">
        <v>234221.13</v>
      </c>
      <c r="K52" s="190">
        <v>212928.30000000002</v>
      </c>
      <c r="L52" s="190">
        <v>191635.47</v>
      </c>
      <c r="M52" s="190">
        <v>121205.34000000001</v>
      </c>
      <c r="N52" s="190">
        <v>124481.16</v>
      </c>
      <c r="O52" s="213">
        <v>2148937.9200000004</v>
      </c>
    </row>
    <row r="53" spans="1:15" ht="12.75">
      <c r="A53" s="245"/>
      <c r="B53" s="204" t="s">
        <v>90</v>
      </c>
      <c r="C53" s="212">
        <v>-17772.48000000001</v>
      </c>
      <c r="D53" s="190">
        <v>-15079.679999999993</v>
      </c>
      <c r="E53" s="190">
        <v>-12207.36</v>
      </c>
      <c r="F53" s="190">
        <v>-13284.479999999996</v>
      </c>
      <c r="G53" s="190">
        <v>-24773.75999999998</v>
      </c>
      <c r="H53" s="190">
        <v>-26748.47999999998</v>
      </c>
      <c r="I53" s="190">
        <v>-28723.199999999983</v>
      </c>
      <c r="J53" s="190">
        <v>-25671.360000000015</v>
      </c>
      <c r="K53" s="190">
        <v>-23337.599999999977</v>
      </c>
      <c r="L53" s="190">
        <v>-21003.839999999997</v>
      </c>
      <c r="M53" s="190">
        <v>-13284.479999999996</v>
      </c>
      <c r="N53" s="190">
        <v>-13643.51999999999</v>
      </c>
      <c r="O53" s="213">
        <v>-235530.2399999999</v>
      </c>
    </row>
    <row r="54" spans="1:15" ht="12.75">
      <c r="A54" s="197" t="s">
        <v>21</v>
      </c>
      <c r="B54" s="197" t="s">
        <v>70</v>
      </c>
      <c r="C54" s="206">
        <v>4429809.34</v>
      </c>
      <c r="D54" s="207">
        <v>3887753.4</v>
      </c>
      <c r="E54" s="207">
        <v>3161760.74</v>
      </c>
      <c r="F54" s="207">
        <v>3312254.42</v>
      </c>
      <c r="G54" s="207">
        <v>5012275.62</v>
      </c>
      <c r="H54" s="207">
        <v>5449822.0600000005</v>
      </c>
      <c r="I54" s="207">
        <v>5706218.7</v>
      </c>
      <c r="J54" s="207">
        <v>5317443.36</v>
      </c>
      <c r="K54" s="207">
        <v>5204573.100000001</v>
      </c>
      <c r="L54" s="207">
        <v>4677845.22</v>
      </c>
      <c r="M54" s="207">
        <v>3572831.44</v>
      </c>
      <c r="N54" s="207">
        <v>3592339.88</v>
      </c>
      <c r="O54" s="208">
        <v>53324927.28</v>
      </c>
    </row>
    <row r="55" spans="1:15" ht="12.75">
      <c r="A55" s="245"/>
      <c r="B55" s="204" t="s">
        <v>25</v>
      </c>
      <c r="C55" s="209">
        <v>-1347800.63</v>
      </c>
      <c r="D55" s="210">
        <v>-1182876.3000000003</v>
      </c>
      <c r="E55" s="210">
        <v>-961987.9299999997</v>
      </c>
      <c r="F55" s="210">
        <v>-1007776.6900000004</v>
      </c>
      <c r="G55" s="210">
        <v>-1525020.0899999999</v>
      </c>
      <c r="H55" s="210">
        <v>-1658146.67</v>
      </c>
      <c r="I55" s="210">
        <v>-1736157.1500000004</v>
      </c>
      <c r="J55" s="210">
        <v>-1617869.5199999996</v>
      </c>
      <c r="K55" s="210">
        <v>-1583527.9499999993</v>
      </c>
      <c r="L55" s="210">
        <v>-1423267.29</v>
      </c>
      <c r="M55" s="210">
        <v>-1087059.0800000005</v>
      </c>
      <c r="N55" s="210">
        <v>-1092994.6600000001</v>
      </c>
      <c r="O55" s="211">
        <v>-16224483.959999999</v>
      </c>
    </row>
    <row r="56" spans="1:15" ht="12.75">
      <c r="A56" s="245"/>
      <c r="B56" s="204" t="s">
        <v>26</v>
      </c>
      <c r="C56" s="209">
        <v>-66489.7909901971</v>
      </c>
      <c r="D56" s="210">
        <v>-58353.73289167974</v>
      </c>
      <c r="E56" s="210">
        <v>-47456.85302194313</v>
      </c>
      <c r="F56" s="210">
        <v>-49715.707198395256</v>
      </c>
      <c r="G56" s="210">
        <v>-75232.39326572475</v>
      </c>
      <c r="H56" s="210">
        <v>-81799.8026305948</v>
      </c>
      <c r="I56" s="210">
        <v>-85648.22085714286</v>
      </c>
      <c r="J56" s="210">
        <v>-79812.84756797487</v>
      </c>
      <c r="K56" s="210">
        <v>-78118.70693563578</v>
      </c>
      <c r="L56" s="210">
        <v>-70212.71731805336</v>
      </c>
      <c r="M56" s="210">
        <v>-53626.8713742892</v>
      </c>
      <c r="N56" s="210">
        <v>-53919.685804570036</v>
      </c>
      <c r="O56" s="211">
        <v>-800387.3298562008</v>
      </c>
    </row>
    <row r="57" spans="1:15" ht="12.75">
      <c r="A57" s="245"/>
      <c r="B57" s="204" t="s">
        <v>27</v>
      </c>
      <c r="C57" s="209">
        <v>-843596.3409901978</v>
      </c>
      <c r="D57" s="210">
        <v>-740369.2328916802</v>
      </c>
      <c r="E57" s="210">
        <v>-602113.9030219429</v>
      </c>
      <c r="F57" s="210">
        <v>-630773.3571983955</v>
      </c>
      <c r="G57" s="210">
        <v>-954519.043265725</v>
      </c>
      <c r="H57" s="210">
        <v>-1037843.7526305949</v>
      </c>
      <c r="I57" s="210">
        <v>-1086670.970857143</v>
      </c>
      <c r="J57" s="210">
        <v>-1012634.047567975</v>
      </c>
      <c r="K57" s="210">
        <v>-991139.4569356358</v>
      </c>
      <c r="L57" s="210">
        <v>-890831.3673180537</v>
      </c>
      <c r="M57" s="210">
        <v>-680396.6713742896</v>
      </c>
      <c r="N57" s="210">
        <v>-684111.7858045707</v>
      </c>
      <c r="O57" s="211">
        <v>-10154999.929856203</v>
      </c>
    </row>
    <row r="58" spans="1:15" ht="12.75">
      <c r="A58" s="245"/>
      <c r="B58" s="204" t="s">
        <v>49</v>
      </c>
      <c r="C58" s="212">
        <v>5777609.97</v>
      </c>
      <c r="D58" s="190">
        <v>5070629.7</v>
      </c>
      <c r="E58" s="190">
        <v>4123748.67</v>
      </c>
      <c r="F58" s="190">
        <v>4320031.11</v>
      </c>
      <c r="G58" s="190">
        <v>6537295.71</v>
      </c>
      <c r="H58" s="190">
        <v>7107968.73</v>
      </c>
      <c r="I58" s="190">
        <v>7442375.850000001</v>
      </c>
      <c r="J58" s="190">
        <v>6935312.88</v>
      </c>
      <c r="K58" s="190">
        <v>6788101.05</v>
      </c>
      <c r="L58" s="190">
        <v>6101112.51</v>
      </c>
      <c r="M58" s="190">
        <v>4659890.5200000005</v>
      </c>
      <c r="N58" s="190">
        <v>4685334.54</v>
      </c>
      <c r="O58" s="213">
        <v>69549411.24000001</v>
      </c>
    </row>
    <row r="59" spans="1:15" ht="12.75">
      <c r="A59" s="245"/>
      <c r="B59" s="204" t="s">
        <v>88</v>
      </c>
      <c r="C59" s="212">
        <v>5206915.890000001</v>
      </c>
      <c r="D59" s="190">
        <v>4569768.9</v>
      </c>
      <c r="E59" s="190">
        <v>3716417.79</v>
      </c>
      <c r="F59" s="190">
        <v>3893312.0700000003</v>
      </c>
      <c r="G59" s="190">
        <v>5891562.2700000005</v>
      </c>
      <c r="H59" s="190">
        <v>6405866.010000001</v>
      </c>
      <c r="I59" s="190">
        <v>6707241.45</v>
      </c>
      <c r="J59" s="190">
        <v>6250264.5600000005</v>
      </c>
      <c r="K59" s="190">
        <v>6117593.850000001</v>
      </c>
      <c r="L59" s="190">
        <v>5498463.87</v>
      </c>
      <c r="M59" s="190">
        <v>4199601.24</v>
      </c>
      <c r="N59" s="190">
        <v>4222531.98</v>
      </c>
      <c r="O59" s="213">
        <v>62679539.88000001</v>
      </c>
    </row>
    <row r="60" spans="1:15" ht="12.75">
      <c r="A60" s="245"/>
      <c r="B60" s="204" t="s">
        <v>90</v>
      </c>
      <c r="C60" s="212">
        <v>-570694.0799999991</v>
      </c>
      <c r="D60" s="190">
        <v>-500860.7999999998</v>
      </c>
      <c r="E60" s="190">
        <v>-407330.8799999999</v>
      </c>
      <c r="F60" s="190">
        <v>-426719.04000000004</v>
      </c>
      <c r="G60" s="190">
        <v>-645733.4399999995</v>
      </c>
      <c r="H60" s="190">
        <v>-702102.7199999997</v>
      </c>
      <c r="I60" s="190">
        <v>-735134.4000000004</v>
      </c>
      <c r="J60" s="190">
        <v>-685048.3199999994</v>
      </c>
      <c r="K60" s="190">
        <v>-670507.1999999993</v>
      </c>
      <c r="L60" s="190">
        <v>-602648.6399999997</v>
      </c>
      <c r="M60" s="190">
        <v>-460289.28000000026</v>
      </c>
      <c r="N60" s="190">
        <v>-462802.5599999996</v>
      </c>
      <c r="O60" s="213">
        <v>-6869871.359999997</v>
      </c>
    </row>
    <row r="61" spans="1:15" ht="12.75">
      <c r="A61" s="197" t="s">
        <v>22</v>
      </c>
      <c r="B61" s="197" t="s">
        <v>70</v>
      </c>
      <c r="C61" s="206">
        <v>4751698.600000001</v>
      </c>
      <c r="D61" s="207">
        <v>3890540.3200000003</v>
      </c>
      <c r="E61" s="207">
        <v>3243974.88</v>
      </c>
      <c r="F61" s="207">
        <v>3221679.52</v>
      </c>
      <c r="G61" s="207">
        <v>4695960.2</v>
      </c>
      <c r="H61" s="207">
        <v>4964897.98</v>
      </c>
      <c r="I61" s="207">
        <v>5136293.5600000005</v>
      </c>
      <c r="J61" s="207">
        <v>4825551.98</v>
      </c>
      <c r="K61" s="207">
        <v>4815797.76</v>
      </c>
      <c r="L61" s="207">
        <v>4396366.3</v>
      </c>
      <c r="M61" s="207">
        <v>4052181.68</v>
      </c>
      <c r="N61" s="207">
        <v>4002017.12</v>
      </c>
      <c r="O61" s="208">
        <v>51996959.9</v>
      </c>
    </row>
    <row r="62" spans="1:15" ht="12.75">
      <c r="A62" s="245"/>
      <c r="B62" s="204" t="s">
        <v>25</v>
      </c>
      <c r="C62" s="209">
        <v>-1445737.6999999993</v>
      </c>
      <c r="D62" s="210">
        <v>-1183724.2400000002</v>
      </c>
      <c r="E62" s="210">
        <v>-987002.1600000001</v>
      </c>
      <c r="F62" s="210">
        <v>-980218.6400000001</v>
      </c>
      <c r="G62" s="210">
        <v>-1428778.9000000004</v>
      </c>
      <c r="H62" s="210">
        <v>-1510605.1099999994</v>
      </c>
      <c r="I62" s="210">
        <v>-1562753.42</v>
      </c>
      <c r="J62" s="210">
        <v>-1468208.1099999994</v>
      </c>
      <c r="K62" s="210">
        <v>-1465240.3200000003</v>
      </c>
      <c r="L62" s="210">
        <v>-1337625.3500000006</v>
      </c>
      <c r="M62" s="210">
        <v>-1232904.7600000002</v>
      </c>
      <c r="N62" s="210">
        <v>-1217641.8399999999</v>
      </c>
      <c r="O62" s="211">
        <v>-15820440.549999999</v>
      </c>
    </row>
    <row r="63" spans="1:15" ht="12.75">
      <c r="A63" s="245"/>
      <c r="B63" s="204" t="s">
        <v>26</v>
      </c>
      <c r="C63" s="209">
        <v>-71321.22908983081</v>
      </c>
      <c r="D63" s="210">
        <v>-58395.563524577</v>
      </c>
      <c r="E63" s="210">
        <v>-48690.85669241235</v>
      </c>
      <c r="F63" s="210">
        <v>-48356.211629234254</v>
      </c>
      <c r="G63" s="210">
        <v>-70484.61643188557</v>
      </c>
      <c r="H63" s="210">
        <v>-74521.2725064713</v>
      </c>
      <c r="I63" s="210">
        <v>-77093.85642965288</v>
      </c>
      <c r="J63" s="210">
        <v>-72429.74086160824</v>
      </c>
      <c r="K63" s="210">
        <v>-72283.33364646781</v>
      </c>
      <c r="L63" s="210">
        <v>-65987.82339542996</v>
      </c>
      <c r="M63" s="210">
        <v>-60821.74023261817</v>
      </c>
      <c r="N63" s="210">
        <v>-60068.78884046747</v>
      </c>
      <c r="O63" s="211">
        <v>-780455.0332806559</v>
      </c>
    </row>
    <row r="64" spans="1:15" ht="12.75">
      <c r="A64" s="245"/>
      <c r="B64" s="204" t="s">
        <v>27</v>
      </c>
      <c r="C64" s="209">
        <v>-904895.7290898308</v>
      </c>
      <c r="D64" s="210">
        <v>-740899.9635245774</v>
      </c>
      <c r="E64" s="210">
        <v>-617770.4566924125</v>
      </c>
      <c r="F64" s="210">
        <v>-613524.6116292346</v>
      </c>
      <c r="G64" s="210">
        <v>-894281.1164318856</v>
      </c>
      <c r="H64" s="210">
        <v>-945496.6225064709</v>
      </c>
      <c r="I64" s="210">
        <v>-978136.556429653</v>
      </c>
      <c r="J64" s="210">
        <v>-918960.0908616078</v>
      </c>
      <c r="K64" s="210">
        <v>-917102.5336464681</v>
      </c>
      <c r="L64" s="210">
        <v>-837227.5733954299</v>
      </c>
      <c r="M64" s="210">
        <v>-771682.3402326182</v>
      </c>
      <c r="N64" s="210">
        <v>-762129.188840468</v>
      </c>
      <c r="O64" s="211">
        <v>-9902106.783280656</v>
      </c>
    </row>
    <row r="65" spans="1:15" ht="12.75">
      <c r="A65" s="245"/>
      <c r="B65" s="204" t="s">
        <v>49</v>
      </c>
      <c r="C65" s="212">
        <v>6197436.3</v>
      </c>
      <c r="D65" s="190">
        <v>5074264.5600000005</v>
      </c>
      <c r="E65" s="190">
        <v>4230977.04</v>
      </c>
      <c r="F65" s="190">
        <v>4201898.16</v>
      </c>
      <c r="G65" s="190">
        <v>6124739.100000001</v>
      </c>
      <c r="H65" s="190">
        <v>6475503.09</v>
      </c>
      <c r="I65" s="190">
        <v>6699046.98</v>
      </c>
      <c r="J65" s="190">
        <v>6293760.09</v>
      </c>
      <c r="K65" s="190">
        <v>6281038.08</v>
      </c>
      <c r="L65" s="190">
        <v>5733991.65</v>
      </c>
      <c r="M65" s="190">
        <v>5285086.44</v>
      </c>
      <c r="N65" s="190">
        <v>5219658.96</v>
      </c>
      <c r="O65" s="213">
        <v>67817400.45</v>
      </c>
    </row>
    <row r="66" spans="1:15" ht="12.75">
      <c r="A66" s="245"/>
      <c r="B66" s="204" t="s">
        <v>88</v>
      </c>
      <c r="C66" s="212">
        <v>5585273.100000001</v>
      </c>
      <c r="D66" s="190">
        <v>4573044.720000001</v>
      </c>
      <c r="E66" s="190">
        <v>3813054.48</v>
      </c>
      <c r="F66" s="190">
        <v>3786847.9200000004</v>
      </c>
      <c r="G66" s="190">
        <v>5519756.7</v>
      </c>
      <c r="H66" s="190">
        <v>5835873.33</v>
      </c>
      <c r="I66" s="190">
        <v>6037336.260000001</v>
      </c>
      <c r="J66" s="190">
        <v>5672082.33</v>
      </c>
      <c r="K66" s="190">
        <v>5660616.96</v>
      </c>
      <c r="L66" s="190">
        <v>5167606.05</v>
      </c>
      <c r="M66" s="190">
        <v>4763042.28</v>
      </c>
      <c r="N66" s="190">
        <v>4704077.5200000005</v>
      </c>
      <c r="O66" s="213">
        <v>61118611.65</v>
      </c>
    </row>
    <row r="67" spans="1:15" ht="12.75">
      <c r="A67" s="245"/>
      <c r="B67" s="204" t="s">
        <v>90</v>
      </c>
      <c r="C67" s="212">
        <v>-612163.1999999993</v>
      </c>
      <c r="D67" s="190">
        <v>-501219.83999999985</v>
      </c>
      <c r="E67" s="190">
        <v>-417922.56000000006</v>
      </c>
      <c r="F67" s="190">
        <v>-415050.23999999976</v>
      </c>
      <c r="G67" s="190">
        <v>-604982.4000000004</v>
      </c>
      <c r="H67" s="190">
        <v>-639629.7599999998</v>
      </c>
      <c r="I67" s="190">
        <v>-661710.7199999997</v>
      </c>
      <c r="J67" s="190">
        <v>-621677.7599999998</v>
      </c>
      <c r="K67" s="190">
        <v>-620421.1200000001</v>
      </c>
      <c r="L67" s="190">
        <v>-566385.6000000006</v>
      </c>
      <c r="M67" s="190">
        <v>-522044.16000000015</v>
      </c>
      <c r="N67" s="190">
        <v>-515581.4399999995</v>
      </c>
      <c r="O67" s="213">
        <v>-6698788.799999999</v>
      </c>
    </row>
    <row r="68" spans="1:15" ht="12.75">
      <c r="A68" s="197" t="s">
        <v>9</v>
      </c>
      <c r="B68" s="197" t="s">
        <v>70</v>
      </c>
      <c r="C68" s="206">
        <v>65492.62</v>
      </c>
      <c r="D68" s="207">
        <v>57131.86</v>
      </c>
      <c r="E68" s="207">
        <v>47377.64</v>
      </c>
      <c r="F68" s="207">
        <v>32049.58</v>
      </c>
      <c r="G68" s="207">
        <v>50164.56</v>
      </c>
      <c r="H68" s="207">
        <v>52951.48</v>
      </c>
      <c r="I68" s="207">
        <v>58525.32</v>
      </c>
      <c r="J68" s="207">
        <v>51558.020000000004</v>
      </c>
      <c r="K68" s="207">
        <v>50164.56</v>
      </c>
      <c r="L68" s="207">
        <v>45984.18</v>
      </c>
      <c r="M68" s="207">
        <v>50164.56</v>
      </c>
      <c r="N68" s="207">
        <v>52951.48</v>
      </c>
      <c r="O68" s="208">
        <v>614515.86</v>
      </c>
    </row>
    <row r="69" spans="1:15" ht="12.75">
      <c r="A69" s="245"/>
      <c r="B69" s="204" t="s">
        <v>25</v>
      </c>
      <c r="C69" s="209">
        <v>-19926.590000000004</v>
      </c>
      <c r="D69" s="210">
        <v>-17382.770000000004</v>
      </c>
      <c r="E69" s="210">
        <v>-14414.980000000003</v>
      </c>
      <c r="F69" s="210">
        <v>-9751.309999999998</v>
      </c>
      <c r="G69" s="210">
        <v>-15262.920000000006</v>
      </c>
      <c r="H69" s="210">
        <v>-16110.859999999993</v>
      </c>
      <c r="I69" s="210">
        <v>-17806.739999999998</v>
      </c>
      <c r="J69" s="210">
        <v>-15686.89</v>
      </c>
      <c r="K69" s="210">
        <v>-15262.920000000006</v>
      </c>
      <c r="L69" s="210">
        <v>-13991.010000000002</v>
      </c>
      <c r="M69" s="210">
        <v>-15262.920000000006</v>
      </c>
      <c r="N69" s="210">
        <v>-16110.859999999993</v>
      </c>
      <c r="O69" s="211">
        <v>-186970.77</v>
      </c>
    </row>
    <row r="70" spans="1:15" ht="12.75">
      <c r="A70" s="245"/>
      <c r="B70" s="204" t="s">
        <v>26</v>
      </c>
      <c r="C70" s="209">
        <v>-983.0198730856445</v>
      </c>
      <c r="D70" s="210">
        <v>-857.5279743938601</v>
      </c>
      <c r="E70" s="210">
        <v>-711.1207592534449</v>
      </c>
      <c r="F70" s="210">
        <v>-481.05227831850686</v>
      </c>
      <c r="G70" s="210">
        <v>-752.9513921507064</v>
      </c>
      <c r="H70" s="210">
        <v>-794.7820250479679</v>
      </c>
      <c r="I70" s="210">
        <v>-878.4432908424908</v>
      </c>
      <c r="J70" s="210">
        <v>-773.8667085993371</v>
      </c>
      <c r="K70" s="210">
        <v>-752.9513921507064</v>
      </c>
      <c r="L70" s="210">
        <v>-690.2054428048142</v>
      </c>
      <c r="M70" s="210">
        <v>-752.9513921507064</v>
      </c>
      <c r="N70" s="210">
        <v>-794.7820250479679</v>
      </c>
      <c r="O70" s="211">
        <v>-9223.654553846152</v>
      </c>
    </row>
    <row r="71" spans="1:15" ht="12.75">
      <c r="A71" s="245"/>
      <c r="B71" s="204" t="s">
        <v>27</v>
      </c>
      <c r="C71" s="209">
        <v>-12472.169873085644</v>
      </c>
      <c r="D71" s="210">
        <v>-10879.977974393856</v>
      </c>
      <c r="E71" s="210">
        <v>-9022.420759253448</v>
      </c>
      <c r="F71" s="210">
        <v>-6103.402278318505</v>
      </c>
      <c r="G71" s="210">
        <v>-9553.15139215071</v>
      </c>
      <c r="H71" s="210">
        <v>-10083.882025047966</v>
      </c>
      <c r="I71" s="210">
        <v>-11145.343290842491</v>
      </c>
      <c r="J71" s="210">
        <v>-9818.516708599338</v>
      </c>
      <c r="K71" s="210">
        <v>-9553.15139215071</v>
      </c>
      <c r="L71" s="210">
        <v>-8757.05544280482</v>
      </c>
      <c r="M71" s="210">
        <v>-9553.15139215071</v>
      </c>
      <c r="N71" s="210">
        <v>-10083.882025047966</v>
      </c>
      <c r="O71" s="211">
        <v>-117026.10455384615</v>
      </c>
    </row>
    <row r="72" spans="1:15" ht="12.75">
      <c r="A72" s="245"/>
      <c r="B72" s="204" t="s">
        <v>49</v>
      </c>
      <c r="C72" s="212">
        <v>85419.21</v>
      </c>
      <c r="D72" s="190">
        <v>74514.63</v>
      </c>
      <c r="E72" s="190">
        <v>61792.62</v>
      </c>
      <c r="F72" s="190">
        <v>41800.89</v>
      </c>
      <c r="G72" s="190">
        <v>65427.48</v>
      </c>
      <c r="H72" s="190">
        <v>69062.34</v>
      </c>
      <c r="I72" s="190">
        <v>76332.06</v>
      </c>
      <c r="J72" s="190">
        <v>67244.91</v>
      </c>
      <c r="K72" s="190">
        <v>65427.48</v>
      </c>
      <c r="L72" s="190">
        <v>59975.19</v>
      </c>
      <c r="M72" s="190">
        <v>65427.48</v>
      </c>
      <c r="N72" s="190">
        <v>69062.34</v>
      </c>
      <c r="O72" s="213">
        <v>801486.63</v>
      </c>
    </row>
    <row r="73" spans="1:15" ht="12.75">
      <c r="A73" s="245"/>
      <c r="B73" s="204" t="s">
        <v>88</v>
      </c>
      <c r="C73" s="212">
        <v>76981.77</v>
      </c>
      <c r="D73" s="190">
        <v>67154.31</v>
      </c>
      <c r="E73" s="190">
        <v>55688.94</v>
      </c>
      <c r="F73" s="190">
        <v>37671.93</v>
      </c>
      <c r="G73" s="190">
        <v>58964.76</v>
      </c>
      <c r="H73" s="190">
        <v>62240.58</v>
      </c>
      <c r="I73" s="190">
        <v>68792.22</v>
      </c>
      <c r="J73" s="190">
        <v>60602.670000000006</v>
      </c>
      <c r="K73" s="190">
        <v>58964.76</v>
      </c>
      <c r="L73" s="190">
        <v>54051.030000000006</v>
      </c>
      <c r="M73" s="190">
        <v>58964.76</v>
      </c>
      <c r="N73" s="190">
        <v>62240.58</v>
      </c>
      <c r="O73" s="213">
        <v>722318.3099999999</v>
      </c>
    </row>
    <row r="74" spans="1:15" ht="12.75">
      <c r="A74" s="245"/>
      <c r="B74" s="204" t="s">
        <v>90</v>
      </c>
      <c r="C74" s="212">
        <v>-8437.440000000002</v>
      </c>
      <c r="D74" s="190">
        <v>-7360.320000000007</v>
      </c>
      <c r="E74" s="190">
        <v>-6103.68</v>
      </c>
      <c r="F74" s="190">
        <v>-4128.959999999999</v>
      </c>
      <c r="G74" s="190">
        <v>-6462.720000000001</v>
      </c>
      <c r="H74" s="190">
        <v>-6821.759999999995</v>
      </c>
      <c r="I74" s="190">
        <v>-7539.8399999999965</v>
      </c>
      <c r="J74" s="190">
        <v>-6642.239999999998</v>
      </c>
      <c r="K74" s="190">
        <v>-6462.720000000001</v>
      </c>
      <c r="L74" s="190">
        <v>-5924.159999999996</v>
      </c>
      <c r="M74" s="190">
        <v>-6462.720000000001</v>
      </c>
      <c r="N74" s="190">
        <v>-6821.759999999995</v>
      </c>
      <c r="O74" s="213">
        <v>-79168.31999999999</v>
      </c>
    </row>
    <row r="75" spans="1:15" ht="12.75">
      <c r="A75" s="197" t="s">
        <v>54</v>
      </c>
      <c r="B75" s="197" t="s">
        <v>70</v>
      </c>
      <c r="C75" s="206">
        <v>175575.96</v>
      </c>
      <c r="D75" s="207">
        <v>143526.38</v>
      </c>
      <c r="E75" s="207">
        <v>128198.32</v>
      </c>
      <c r="F75" s="207">
        <v>119837.56</v>
      </c>
      <c r="G75" s="207">
        <v>193690.94</v>
      </c>
      <c r="H75" s="207">
        <v>220166.68</v>
      </c>
      <c r="I75" s="207">
        <v>225740.52000000002</v>
      </c>
      <c r="J75" s="207">
        <v>200658.24</v>
      </c>
      <c r="K75" s="207">
        <v>209019</v>
      </c>
      <c r="L75" s="207">
        <v>171395.58000000002</v>
      </c>
      <c r="M75" s="207">
        <v>142132.92</v>
      </c>
      <c r="N75" s="207">
        <v>143526.38</v>
      </c>
      <c r="O75" s="208">
        <v>2073468.48</v>
      </c>
    </row>
    <row r="76" spans="1:15" ht="12.75">
      <c r="A76" s="245"/>
      <c r="B76" s="204" t="s">
        <v>25</v>
      </c>
      <c r="C76" s="212">
        <v>-53420.22000000003</v>
      </c>
      <c r="D76" s="190">
        <v>-43668.91</v>
      </c>
      <c r="E76" s="190">
        <v>-39005.23999999999</v>
      </c>
      <c r="F76" s="190">
        <v>-36461.42000000001</v>
      </c>
      <c r="G76" s="190">
        <v>-58931.830000000016</v>
      </c>
      <c r="H76" s="190">
        <v>-66987.26000000001</v>
      </c>
      <c r="I76" s="190">
        <v>-68683.14000000001</v>
      </c>
      <c r="J76" s="190">
        <v>-61051.68000000002</v>
      </c>
      <c r="K76" s="190">
        <v>-63595.5</v>
      </c>
      <c r="L76" s="190">
        <v>-52148.31</v>
      </c>
      <c r="M76" s="190">
        <v>-43244.94</v>
      </c>
      <c r="N76" s="190">
        <v>-43668.91</v>
      </c>
      <c r="O76" s="213">
        <v>-630867.36</v>
      </c>
    </row>
    <row r="77" spans="1:15" ht="12.75">
      <c r="A77" s="245"/>
      <c r="B77" s="204" t="s">
        <v>26</v>
      </c>
      <c r="C77" s="212">
        <v>-2635.3298725274726</v>
      </c>
      <c r="D77" s="190">
        <v>-2154.277594208965</v>
      </c>
      <c r="E77" s="190">
        <v>-1924.2091132740275</v>
      </c>
      <c r="F77" s="190">
        <v>-1798.717214582243</v>
      </c>
      <c r="G77" s="190">
        <v>-2907.2289863596716</v>
      </c>
      <c r="H77" s="190">
        <v>-3304.6199988836556</v>
      </c>
      <c r="I77" s="190">
        <v>-3388.2812646781786</v>
      </c>
      <c r="J77" s="190">
        <v>-3011.8055686028256</v>
      </c>
      <c r="K77" s="190">
        <v>-3137.2974672946098</v>
      </c>
      <c r="L77" s="190">
        <v>-2572.58392318158</v>
      </c>
      <c r="M77" s="190">
        <v>-2133.362277760335</v>
      </c>
      <c r="N77" s="190">
        <v>-2154.277594208965</v>
      </c>
      <c r="O77" s="213">
        <v>-31121.990875562533</v>
      </c>
    </row>
    <row r="78" spans="1:15" ht="12.75">
      <c r="A78" s="245"/>
      <c r="B78" s="204" t="s">
        <v>27</v>
      </c>
      <c r="C78" s="212">
        <v>-33436.029872527484</v>
      </c>
      <c r="D78" s="190">
        <v>-27332.62759420897</v>
      </c>
      <c r="E78" s="190">
        <v>-24413.60911327402</v>
      </c>
      <c r="F78" s="190">
        <v>-22821.417214582252</v>
      </c>
      <c r="G78" s="190">
        <v>-36885.77898635969</v>
      </c>
      <c r="H78" s="190">
        <v>-41927.719998883666</v>
      </c>
      <c r="I78" s="190">
        <v>-42989.181264678205</v>
      </c>
      <c r="J78" s="190">
        <v>-38212.60556860284</v>
      </c>
      <c r="K78" s="190">
        <v>-39804.797467294615</v>
      </c>
      <c r="L78" s="190">
        <v>-32639.933923181583</v>
      </c>
      <c r="M78" s="190">
        <v>-27067.262277760332</v>
      </c>
      <c r="N78" s="190">
        <v>-27332.62759420897</v>
      </c>
      <c r="O78" s="213">
        <v>-394863.5908755627</v>
      </c>
    </row>
    <row r="79" spans="1:15" ht="12.75">
      <c r="A79" s="245"/>
      <c r="B79" s="204" t="s">
        <v>49</v>
      </c>
      <c r="C79" s="212">
        <v>228996.18000000002</v>
      </c>
      <c r="D79" s="190">
        <v>187195.29</v>
      </c>
      <c r="E79" s="190">
        <v>167203.56</v>
      </c>
      <c r="F79" s="190">
        <v>156298.98</v>
      </c>
      <c r="G79" s="190">
        <v>252622.77000000002</v>
      </c>
      <c r="H79" s="190">
        <v>287153.94</v>
      </c>
      <c r="I79" s="190">
        <v>294423.66000000003</v>
      </c>
      <c r="J79" s="190">
        <v>261709.92</v>
      </c>
      <c r="K79" s="190">
        <v>272614.5</v>
      </c>
      <c r="L79" s="190">
        <v>223543.89</v>
      </c>
      <c r="M79" s="190">
        <v>185377.86000000002</v>
      </c>
      <c r="N79" s="190">
        <v>187195.29</v>
      </c>
      <c r="O79" s="213">
        <v>2704335.84</v>
      </c>
    </row>
    <row r="80" spans="1:15" ht="12.75">
      <c r="A80" s="245"/>
      <c r="B80" s="204" t="s">
        <v>88</v>
      </c>
      <c r="C80" s="212">
        <v>206376.66</v>
      </c>
      <c r="D80" s="190">
        <v>168704.73</v>
      </c>
      <c r="E80" s="190">
        <v>150687.72</v>
      </c>
      <c r="F80" s="190">
        <v>140860.26</v>
      </c>
      <c r="G80" s="190">
        <v>227669.49000000002</v>
      </c>
      <c r="H80" s="190">
        <v>258789.78</v>
      </c>
      <c r="I80" s="190">
        <v>265341.42000000004</v>
      </c>
      <c r="J80" s="190">
        <v>235859.04</v>
      </c>
      <c r="K80" s="190">
        <v>245686.5</v>
      </c>
      <c r="L80" s="190">
        <v>201462.93000000002</v>
      </c>
      <c r="M80" s="190">
        <v>167066.82</v>
      </c>
      <c r="N80" s="190">
        <v>168704.73</v>
      </c>
      <c r="O80" s="213">
        <v>2437210.08</v>
      </c>
    </row>
    <row r="81" spans="1:15" ht="12.75">
      <c r="A81" s="245"/>
      <c r="B81" s="204" t="s">
        <v>90</v>
      </c>
      <c r="C81" s="212">
        <v>-22619.52000000002</v>
      </c>
      <c r="D81" s="190">
        <v>-18490.559999999998</v>
      </c>
      <c r="E81" s="190">
        <v>-16515.839999999997</v>
      </c>
      <c r="F81" s="190">
        <v>-15438.720000000001</v>
      </c>
      <c r="G81" s="190">
        <v>-24953.28</v>
      </c>
      <c r="H81" s="190">
        <v>-28364.160000000003</v>
      </c>
      <c r="I81" s="190">
        <v>-29082.23999999999</v>
      </c>
      <c r="J81" s="190">
        <v>-25850.880000000005</v>
      </c>
      <c r="K81" s="190">
        <v>-26928</v>
      </c>
      <c r="L81" s="190">
        <v>-22080.959999999992</v>
      </c>
      <c r="M81" s="190">
        <v>-18311.040000000008</v>
      </c>
      <c r="N81" s="190">
        <v>-18490.559999999998</v>
      </c>
      <c r="O81" s="213">
        <v>-267125.76</v>
      </c>
    </row>
    <row r="82" spans="1:15" ht="12.75">
      <c r="A82" s="197" t="s">
        <v>55</v>
      </c>
      <c r="B82" s="197" t="s">
        <v>70</v>
      </c>
      <c r="C82" s="206">
        <v>12541.14</v>
      </c>
      <c r="D82" s="207">
        <v>12541.14</v>
      </c>
      <c r="E82" s="207">
        <v>12541.14</v>
      </c>
      <c r="F82" s="207">
        <v>13934.6</v>
      </c>
      <c r="G82" s="207">
        <v>12541.14</v>
      </c>
      <c r="H82" s="207">
        <v>19508.440000000002</v>
      </c>
      <c r="I82" s="207">
        <v>20901.9</v>
      </c>
      <c r="J82" s="207">
        <v>19508.440000000002</v>
      </c>
      <c r="K82" s="207">
        <v>18114.98</v>
      </c>
      <c r="L82" s="207">
        <v>18114.98</v>
      </c>
      <c r="M82" s="207">
        <v>6967.3</v>
      </c>
      <c r="N82" s="207">
        <v>15328.060000000001</v>
      </c>
      <c r="O82" s="208">
        <v>182543.26</v>
      </c>
    </row>
    <row r="83" spans="1:15" ht="12.75">
      <c r="A83" s="245"/>
      <c r="B83" s="204" t="s">
        <v>25</v>
      </c>
      <c r="C83" s="212">
        <v>-3815.7300000000014</v>
      </c>
      <c r="D83" s="190">
        <v>-3815.7300000000014</v>
      </c>
      <c r="E83" s="190">
        <v>-3815.7300000000014</v>
      </c>
      <c r="F83" s="190">
        <v>-4239.699999999999</v>
      </c>
      <c r="G83" s="190">
        <v>-3815.7300000000014</v>
      </c>
      <c r="H83" s="190">
        <v>-5935.579999999998</v>
      </c>
      <c r="I83" s="190">
        <v>-6359.549999999999</v>
      </c>
      <c r="J83" s="190">
        <v>-5935.579999999998</v>
      </c>
      <c r="K83" s="190">
        <v>-5511.610000000001</v>
      </c>
      <c r="L83" s="190">
        <v>-5511.610000000001</v>
      </c>
      <c r="M83" s="190">
        <v>-2119.8499999999995</v>
      </c>
      <c r="N83" s="190">
        <v>-4663.669999999998</v>
      </c>
      <c r="O83" s="213">
        <v>-55540.07</v>
      </c>
    </row>
    <row r="84" spans="1:15" ht="12.75">
      <c r="A84" s="245"/>
      <c r="B84" s="204" t="s">
        <v>26</v>
      </c>
      <c r="C84" s="212">
        <v>-188.2378480376766</v>
      </c>
      <c r="D84" s="190">
        <v>-188.2378480376766</v>
      </c>
      <c r="E84" s="190">
        <v>-188.2378480376766</v>
      </c>
      <c r="F84" s="190">
        <v>-209.15316448630733</v>
      </c>
      <c r="G84" s="190">
        <v>-188.2378480376766</v>
      </c>
      <c r="H84" s="190">
        <v>-292.81443028083027</v>
      </c>
      <c r="I84" s="190">
        <v>-313.729746729461</v>
      </c>
      <c r="J84" s="190">
        <v>-292.81443028083027</v>
      </c>
      <c r="K84" s="190">
        <v>-271.89911383219953</v>
      </c>
      <c r="L84" s="190">
        <v>-271.89911383219953</v>
      </c>
      <c r="M84" s="190">
        <v>-104.57658224315367</v>
      </c>
      <c r="N84" s="190">
        <v>-230.06848093493807</v>
      </c>
      <c r="O84" s="213">
        <v>-2739.906454770626</v>
      </c>
    </row>
    <row r="85" spans="1:15" ht="12.75">
      <c r="A85" s="245"/>
      <c r="B85" s="204" t="s">
        <v>27</v>
      </c>
      <c r="C85" s="212">
        <v>-2388.2878480376776</v>
      </c>
      <c r="D85" s="190">
        <v>-2388.2878480376776</v>
      </c>
      <c r="E85" s="190">
        <v>-2388.2878480376776</v>
      </c>
      <c r="F85" s="190">
        <v>-2653.653164486307</v>
      </c>
      <c r="G85" s="190">
        <v>-2388.2878480376776</v>
      </c>
      <c r="H85" s="190">
        <v>-3715.1144302808298</v>
      </c>
      <c r="I85" s="190">
        <v>-3980.479746729461</v>
      </c>
      <c r="J85" s="190">
        <v>-3715.1144302808298</v>
      </c>
      <c r="K85" s="190">
        <v>-3449.749113832202</v>
      </c>
      <c r="L85" s="190">
        <v>-3449.749113832202</v>
      </c>
      <c r="M85" s="190">
        <v>-1326.8265822431536</v>
      </c>
      <c r="N85" s="190">
        <v>-2919.0184809349385</v>
      </c>
      <c r="O85" s="213">
        <v>-34762.856454770634</v>
      </c>
    </row>
    <row r="86" spans="1:15" ht="12.75">
      <c r="A86" s="245"/>
      <c r="B86" s="204" t="s">
        <v>49</v>
      </c>
      <c r="C86" s="212">
        <v>16356.87</v>
      </c>
      <c r="D86" s="190">
        <v>16356.87</v>
      </c>
      <c r="E86" s="190">
        <v>16356.87</v>
      </c>
      <c r="F86" s="190">
        <v>18174.3</v>
      </c>
      <c r="G86" s="190">
        <v>16356.87</v>
      </c>
      <c r="H86" s="190">
        <v>25444.02</v>
      </c>
      <c r="I86" s="190">
        <v>27261.45</v>
      </c>
      <c r="J86" s="190">
        <v>25444.02</v>
      </c>
      <c r="K86" s="190">
        <v>23626.59</v>
      </c>
      <c r="L86" s="190">
        <v>23626.59</v>
      </c>
      <c r="M86" s="190">
        <v>9087.15</v>
      </c>
      <c r="N86" s="190">
        <v>19991.73</v>
      </c>
      <c r="O86" s="213">
        <v>238083.33</v>
      </c>
    </row>
    <row r="87" spans="1:15" ht="12.75">
      <c r="A87" s="245"/>
      <c r="B87" s="204" t="s">
        <v>88</v>
      </c>
      <c r="C87" s="212">
        <v>14741.19</v>
      </c>
      <c r="D87" s="190">
        <v>14741.19</v>
      </c>
      <c r="E87" s="190">
        <v>14741.19</v>
      </c>
      <c r="F87" s="190">
        <v>16379.1</v>
      </c>
      <c r="G87" s="190">
        <v>14741.19</v>
      </c>
      <c r="H87" s="190">
        <v>22930.74</v>
      </c>
      <c r="I87" s="190">
        <v>24568.65</v>
      </c>
      <c r="J87" s="190">
        <v>22930.74</v>
      </c>
      <c r="K87" s="190">
        <v>21292.83</v>
      </c>
      <c r="L87" s="190">
        <v>21292.83</v>
      </c>
      <c r="M87" s="190">
        <v>8189.55</v>
      </c>
      <c r="N87" s="190">
        <v>18017.010000000002</v>
      </c>
      <c r="O87" s="213">
        <v>214566.21000000002</v>
      </c>
    </row>
    <row r="88" spans="1:15" ht="12.75">
      <c r="A88" s="245"/>
      <c r="B88" s="204" t="s">
        <v>90</v>
      </c>
      <c r="C88" s="212">
        <v>-1615.6800000000003</v>
      </c>
      <c r="D88" s="190">
        <v>-1615.6800000000003</v>
      </c>
      <c r="E88" s="190">
        <v>-1615.6800000000003</v>
      </c>
      <c r="F88" s="190">
        <v>-1795.199999999999</v>
      </c>
      <c r="G88" s="190">
        <v>-1615.6800000000003</v>
      </c>
      <c r="H88" s="190">
        <v>-2513.279999999999</v>
      </c>
      <c r="I88" s="190">
        <v>-2692.7999999999993</v>
      </c>
      <c r="J88" s="190">
        <v>-2513.279999999999</v>
      </c>
      <c r="K88" s="190">
        <v>-2333.7599999999984</v>
      </c>
      <c r="L88" s="190">
        <v>-2333.7599999999984</v>
      </c>
      <c r="M88" s="190">
        <v>-897.5999999999995</v>
      </c>
      <c r="N88" s="190">
        <v>-1974.7199999999975</v>
      </c>
      <c r="O88" s="213">
        <v>-23517.119999999988</v>
      </c>
    </row>
    <row r="89" spans="1:15" ht="12.75">
      <c r="A89" s="197" t="s">
        <v>56</v>
      </c>
      <c r="B89" s="197" t="s">
        <v>70</v>
      </c>
      <c r="C89" s="206">
        <v>34836.5</v>
      </c>
      <c r="D89" s="207">
        <v>29262.66</v>
      </c>
      <c r="E89" s="207">
        <v>25082.28</v>
      </c>
      <c r="F89" s="207">
        <v>29262.66</v>
      </c>
      <c r="G89" s="207">
        <v>47377.64</v>
      </c>
      <c r="H89" s="207">
        <v>51558.020000000004</v>
      </c>
      <c r="I89" s="207">
        <v>52951.48</v>
      </c>
      <c r="J89" s="207">
        <v>48771.1</v>
      </c>
      <c r="K89" s="207">
        <v>50164.56</v>
      </c>
      <c r="L89" s="207">
        <v>41803.8</v>
      </c>
      <c r="M89" s="207">
        <v>27869.2</v>
      </c>
      <c r="N89" s="207">
        <v>29262.66</v>
      </c>
      <c r="O89" s="208">
        <v>468202.55999999994</v>
      </c>
    </row>
    <row r="90" spans="1:15" ht="12.75">
      <c r="A90" s="245"/>
      <c r="B90" s="204" t="s">
        <v>25</v>
      </c>
      <c r="C90" s="212">
        <v>-10599.25</v>
      </c>
      <c r="D90" s="190">
        <v>-8903.369999999999</v>
      </c>
      <c r="E90" s="190">
        <v>-7631.460000000003</v>
      </c>
      <c r="F90" s="190">
        <v>-8903.369999999999</v>
      </c>
      <c r="G90" s="190">
        <v>-14414.980000000003</v>
      </c>
      <c r="H90" s="190">
        <v>-15686.89</v>
      </c>
      <c r="I90" s="190">
        <v>-16110.859999999993</v>
      </c>
      <c r="J90" s="190">
        <v>-14838.950000000004</v>
      </c>
      <c r="K90" s="190">
        <v>-15262.920000000006</v>
      </c>
      <c r="L90" s="190">
        <v>-12719.099999999999</v>
      </c>
      <c r="M90" s="190">
        <v>-8479.399999999998</v>
      </c>
      <c r="N90" s="190">
        <v>-8903.369999999999</v>
      </c>
      <c r="O90" s="213">
        <v>-142453.92</v>
      </c>
    </row>
    <row r="91" spans="1:15" ht="12.75">
      <c r="A91" s="245"/>
      <c r="B91" s="204" t="s">
        <v>26</v>
      </c>
      <c r="C91" s="212">
        <v>-522.8829112157683</v>
      </c>
      <c r="D91" s="190">
        <v>-439.2216454212454</v>
      </c>
      <c r="E91" s="190">
        <v>-376.4756960753532</v>
      </c>
      <c r="F91" s="190">
        <v>-439.2216454212454</v>
      </c>
      <c r="G91" s="190">
        <v>-711.1207592534449</v>
      </c>
      <c r="H91" s="190">
        <v>-773.8667085993371</v>
      </c>
      <c r="I91" s="190">
        <v>-794.7820250479679</v>
      </c>
      <c r="J91" s="190">
        <v>-732.0360757020757</v>
      </c>
      <c r="K91" s="190">
        <v>-752.9513921507064</v>
      </c>
      <c r="L91" s="190">
        <v>-627.459493458922</v>
      </c>
      <c r="M91" s="190">
        <v>-418.30632897261466</v>
      </c>
      <c r="N91" s="190">
        <v>-439.2216454212454</v>
      </c>
      <c r="O91" s="213">
        <v>-7027.5463267399255</v>
      </c>
    </row>
    <row r="92" spans="1:15" ht="12.75">
      <c r="A92" s="245"/>
      <c r="B92" s="204" t="s">
        <v>27</v>
      </c>
      <c r="C92" s="212">
        <v>-6634.132911215769</v>
      </c>
      <c r="D92" s="190">
        <v>-5572.671645421246</v>
      </c>
      <c r="E92" s="190">
        <v>-4776.575696075355</v>
      </c>
      <c r="F92" s="190">
        <v>-5572.671645421246</v>
      </c>
      <c r="G92" s="190">
        <v>-9022.420759253448</v>
      </c>
      <c r="H92" s="190">
        <v>-9818.516708599338</v>
      </c>
      <c r="I92" s="190">
        <v>-10083.882025047966</v>
      </c>
      <c r="J92" s="190">
        <v>-9287.786075702083</v>
      </c>
      <c r="K92" s="190">
        <v>-9553.15139215071</v>
      </c>
      <c r="L92" s="190">
        <v>-7960.959493458922</v>
      </c>
      <c r="M92" s="190">
        <v>-5307.306328972614</v>
      </c>
      <c r="N92" s="190">
        <v>-5572.671645421246</v>
      </c>
      <c r="O92" s="213">
        <v>-89162.74632673994</v>
      </c>
    </row>
    <row r="93" spans="1:15" ht="12.75">
      <c r="A93" s="245"/>
      <c r="B93" s="204" t="s">
        <v>49</v>
      </c>
      <c r="C93" s="212">
        <v>45435.75</v>
      </c>
      <c r="D93" s="190">
        <v>38166.03</v>
      </c>
      <c r="E93" s="190">
        <v>32713.74</v>
      </c>
      <c r="F93" s="190">
        <v>38166.03</v>
      </c>
      <c r="G93" s="190">
        <v>61792.62</v>
      </c>
      <c r="H93" s="190">
        <v>67244.91</v>
      </c>
      <c r="I93" s="190">
        <v>69062.34</v>
      </c>
      <c r="J93" s="190">
        <v>63610.05</v>
      </c>
      <c r="K93" s="190">
        <v>65427.48</v>
      </c>
      <c r="L93" s="190">
        <v>54522.9</v>
      </c>
      <c r="M93" s="190">
        <v>36348.6</v>
      </c>
      <c r="N93" s="190">
        <v>38166.03</v>
      </c>
      <c r="O93" s="213">
        <v>610656.4799999999</v>
      </c>
    </row>
    <row r="94" spans="1:15" ht="12.75">
      <c r="A94" s="245"/>
      <c r="B94" s="204" t="s">
        <v>88</v>
      </c>
      <c r="C94" s="212">
        <v>40947.75</v>
      </c>
      <c r="D94" s="190">
        <v>34396.11</v>
      </c>
      <c r="E94" s="190">
        <v>29482.38</v>
      </c>
      <c r="F94" s="190">
        <v>34396.11</v>
      </c>
      <c r="G94" s="190">
        <v>55688.94</v>
      </c>
      <c r="H94" s="190">
        <v>60602.670000000006</v>
      </c>
      <c r="I94" s="190">
        <v>62240.58</v>
      </c>
      <c r="J94" s="190">
        <v>57326.850000000006</v>
      </c>
      <c r="K94" s="190">
        <v>58964.76</v>
      </c>
      <c r="L94" s="190">
        <v>49137.3</v>
      </c>
      <c r="M94" s="190">
        <v>32758.2</v>
      </c>
      <c r="N94" s="190">
        <v>34396.11</v>
      </c>
      <c r="O94" s="213">
        <v>550337.76</v>
      </c>
    </row>
    <row r="95" spans="1:15" ht="12.75">
      <c r="A95" s="245"/>
      <c r="B95" s="204" t="s">
        <v>90</v>
      </c>
      <c r="C95" s="212">
        <v>-4488</v>
      </c>
      <c r="D95" s="190">
        <v>-3769.9199999999983</v>
      </c>
      <c r="E95" s="190">
        <v>-3231.3600000000006</v>
      </c>
      <c r="F95" s="190">
        <v>-3769.9199999999983</v>
      </c>
      <c r="G95" s="190">
        <v>-6103.68</v>
      </c>
      <c r="H95" s="190">
        <v>-6642.239999999998</v>
      </c>
      <c r="I95" s="190">
        <v>-6821.759999999995</v>
      </c>
      <c r="J95" s="190">
        <v>-6283.199999999997</v>
      </c>
      <c r="K95" s="190">
        <v>-6462.720000000001</v>
      </c>
      <c r="L95" s="190">
        <v>-5385.5999999999985</v>
      </c>
      <c r="M95" s="190">
        <v>-3590.399999999998</v>
      </c>
      <c r="N95" s="190">
        <v>-3769.9199999999983</v>
      </c>
      <c r="O95" s="213">
        <v>-60318.71999999999</v>
      </c>
    </row>
    <row r="96" spans="1:15" ht="12.75">
      <c r="A96" s="197" t="s">
        <v>57</v>
      </c>
      <c r="B96" s="197" t="s">
        <v>70</v>
      </c>
      <c r="C96" s="206">
        <v>62705.700000000004</v>
      </c>
      <c r="D96" s="207">
        <v>59918.78</v>
      </c>
      <c r="E96" s="207">
        <v>54344.94</v>
      </c>
      <c r="F96" s="207">
        <v>54344.94</v>
      </c>
      <c r="G96" s="207">
        <v>78033.76000000001</v>
      </c>
      <c r="H96" s="207">
        <v>79427.22</v>
      </c>
      <c r="I96" s="207">
        <v>78033.76000000001</v>
      </c>
      <c r="J96" s="207">
        <v>78033.76000000001</v>
      </c>
      <c r="K96" s="207">
        <v>76640.3</v>
      </c>
      <c r="L96" s="207">
        <v>72459.92</v>
      </c>
      <c r="M96" s="207">
        <v>58525.32</v>
      </c>
      <c r="N96" s="207">
        <v>57131.86</v>
      </c>
      <c r="O96" s="208">
        <v>809600.26</v>
      </c>
    </row>
    <row r="97" spans="1:15" ht="12.75">
      <c r="A97" s="245"/>
      <c r="B97" s="204" t="s">
        <v>25</v>
      </c>
      <c r="C97" s="212">
        <v>-19078.65</v>
      </c>
      <c r="D97" s="190">
        <v>-18230.710000000006</v>
      </c>
      <c r="E97" s="190">
        <v>-16534.83</v>
      </c>
      <c r="F97" s="190">
        <v>-16534.83</v>
      </c>
      <c r="G97" s="190">
        <v>-23742.319999999992</v>
      </c>
      <c r="H97" s="190">
        <v>-24166.290000000008</v>
      </c>
      <c r="I97" s="190">
        <v>-23742.319999999992</v>
      </c>
      <c r="J97" s="190">
        <v>-23742.319999999992</v>
      </c>
      <c r="K97" s="190">
        <v>-23318.350000000006</v>
      </c>
      <c r="L97" s="190">
        <v>-22046.440000000002</v>
      </c>
      <c r="M97" s="190">
        <v>-17806.739999999998</v>
      </c>
      <c r="N97" s="190">
        <v>-17382.770000000004</v>
      </c>
      <c r="O97" s="213">
        <v>-246326.57</v>
      </c>
    </row>
    <row r="98" spans="1:15" ht="12.75">
      <c r="A98" s="245"/>
      <c r="B98" s="204" t="s">
        <v>26</v>
      </c>
      <c r="C98" s="212">
        <v>-941.189240188383</v>
      </c>
      <c r="D98" s="190">
        <v>-899.3586072911215</v>
      </c>
      <c r="E98" s="190">
        <v>-815.6973414965986</v>
      </c>
      <c r="F98" s="190">
        <v>-815.6973414965986</v>
      </c>
      <c r="G98" s="190">
        <v>-1171.257721123321</v>
      </c>
      <c r="H98" s="190">
        <v>-1192.173037571952</v>
      </c>
      <c r="I98" s="190">
        <v>-1171.257721123321</v>
      </c>
      <c r="J98" s="190">
        <v>-1171.257721123321</v>
      </c>
      <c r="K98" s="190">
        <v>-1150.3424046746904</v>
      </c>
      <c r="L98" s="190">
        <v>-1087.5964553287981</v>
      </c>
      <c r="M98" s="190">
        <v>-878.4432908424908</v>
      </c>
      <c r="N98" s="190">
        <v>-857.5279743938601</v>
      </c>
      <c r="O98" s="213">
        <v>-12151.798856654457</v>
      </c>
    </row>
    <row r="99" spans="1:15" ht="12.75">
      <c r="A99" s="245"/>
      <c r="B99" s="204" t="s">
        <v>27</v>
      </c>
      <c r="C99" s="212">
        <v>-11941.439240188374</v>
      </c>
      <c r="D99" s="190">
        <v>-11410.708607291126</v>
      </c>
      <c r="E99" s="190">
        <v>-10349.2473414966</v>
      </c>
      <c r="F99" s="190">
        <v>-10349.2473414966</v>
      </c>
      <c r="G99" s="190">
        <v>-14860.457721123319</v>
      </c>
      <c r="H99" s="190">
        <v>-15125.823037571961</v>
      </c>
      <c r="I99" s="190">
        <v>-14860.457721123319</v>
      </c>
      <c r="J99" s="190">
        <v>-14860.457721123319</v>
      </c>
      <c r="K99" s="190">
        <v>-14595.092404674691</v>
      </c>
      <c r="L99" s="190">
        <v>-13798.996455328808</v>
      </c>
      <c r="M99" s="190">
        <v>-11145.343290842491</v>
      </c>
      <c r="N99" s="190">
        <v>-10879.977974393856</v>
      </c>
      <c r="O99" s="213">
        <v>-154177.2488566545</v>
      </c>
    </row>
    <row r="100" spans="1:15" ht="12.75">
      <c r="A100" s="245"/>
      <c r="B100" s="204" t="s">
        <v>49</v>
      </c>
      <c r="C100" s="212">
        <v>81784.35</v>
      </c>
      <c r="D100" s="190">
        <v>78149.49</v>
      </c>
      <c r="E100" s="190">
        <v>70879.77</v>
      </c>
      <c r="F100" s="190">
        <v>70879.77</v>
      </c>
      <c r="G100" s="190">
        <v>101776.08</v>
      </c>
      <c r="H100" s="190">
        <v>103593.51000000001</v>
      </c>
      <c r="I100" s="190">
        <v>101776.08</v>
      </c>
      <c r="J100" s="190">
        <v>101776.08</v>
      </c>
      <c r="K100" s="190">
        <v>99958.65000000001</v>
      </c>
      <c r="L100" s="190">
        <v>94506.36</v>
      </c>
      <c r="M100" s="190">
        <v>76332.06</v>
      </c>
      <c r="N100" s="190">
        <v>74514.63</v>
      </c>
      <c r="O100" s="213">
        <v>1055926.83</v>
      </c>
    </row>
    <row r="101" spans="1:15" ht="12.75">
      <c r="A101" s="245"/>
      <c r="B101" s="204" t="s">
        <v>88</v>
      </c>
      <c r="C101" s="212">
        <v>73705.95</v>
      </c>
      <c r="D101" s="190">
        <v>70430.13</v>
      </c>
      <c r="E101" s="190">
        <v>63878.490000000005</v>
      </c>
      <c r="F101" s="190">
        <v>63878.490000000005</v>
      </c>
      <c r="G101" s="190">
        <v>91722.96</v>
      </c>
      <c r="H101" s="190">
        <v>93360.87000000001</v>
      </c>
      <c r="I101" s="190">
        <v>91722.96</v>
      </c>
      <c r="J101" s="190">
        <v>91722.96</v>
      </c>
      <c r="K101" s="190">
        <v>90085.05</v>
      </c>
      <c r="L101" s="190">
        <v>85171.32</v>
      </c>
      <c r="M101" s="190">
        <v>68792.22</v>
      </c>
      <c r="N101" s="190">
        <v>67154.31</v>
      </c>
      <c r="O101" s="213">
        <v>951625.71</v>
      </c>
    </row>
    <row r="102" spans="1:15" ht="12.75">
      <c r="A102" s="245"/>
      <c r="B102" s="204" t="s">
        <v>90</v>
      </c>
      <c r="C102" s="212">
        <v>-8078.400000000009</v>
      </c>
      <c r="D102" s="190">
        <v>-7719.360000000001</v>
      </c>
      <c r="E102" s="190">
        <v>-7001.279999999999</v>
      </c>
      <c r="F102" s="190">
        <v>-7001.279999999999</v>
      </c>
      <c r="G102" s="190">
        <v>-10053.119999999995</v>
      </c>
      <c r="H102" s="190">
        <v>-10232.64</v>
      </c>
      <c r="I102" s="190">
        <v>-10053.119999999995</v>
      </c>
      <c r="J102" s="190">
        <v>-10053.119999999995</v>
      </c>
      <c r="K102" s="190">
        <v>-9873.600000000006</v>
      </c>
      <c r="L102" s="190">
        <v>-9335.039999999994</v>
      </c>
      <c r="M102" s="190">
        <v>-7539.8399999999965</v>
      </c>
      <c r="N102" s="190">
        <v>-7360.320000000007</v>
      </c>
      <c r="O102" s="213">
        <v>-104301.12</v>
      </c>
    </row>
    <row r="103" spans="1:15" ht="12.75">
      <c r="A103" s="197" t="s">
        <v>81</v>
      </c>
      <c r="B103" s="197" t="s">
        <v>70</v>
      </c>
      <c r="C103" s="206">
        <v>284265.84</v>
      </c>
      <c r="D103" s="207">
        <v>182543.26</v>
      </c>
      <c r="E103" s="207">
        <v>151887.14</v>
      </c>
      <c r="F103" s="207">
        <v>117050.64</v>
      </c>
      <c r="G103" s="207">
        <v>186723.64</v>
      </c>
      <c r="H103" s="207">
        <v>183936.72</v>
      </c>
      <c r="I103" s="207">
        <v>199264.78</v>
      </c>
      <c r="J103" s="207">
        <v>167215.2</v>
      </c>
      <c r="K103" s="207">
        <v>176969.42</v>
      </c>
      <c r="L103" s="207">
        <v>164428.28</v>
      </c>
      <c r="M103" s="207">
        <v>197871.32</v>
      </c>
      <c r="N103" s="207">
        <v>179756.34</v>
      </c>
      <c r="O103" s="208">
        <v>2191912.58</v>
      </c>
    </row>
    <row r="104" spans="1:15" ht="12.75">
      <c r="A104" s="245"/>
      <c r="B104" s="204" t="s">
        <v>25</v>
      </c>
      <c r="C104" s="212">
        <v>-86489.88</v>
      </c>
      <c r="D104" s="190">
        <v>-55540.07000000001</v>
      </c>
      <c r="E104" s="190">
        <v>-46212.72999999998</v>
      </c>
      <c r="F104" s="190">
        <v>-35613.479999999996</v>
      </c>
      <c r="G104" s="190">
        <v>-56811.97999999998</v>
      </c>
      <c r="H104" s="190">
        <v>-55964.04000000001</v>
      </c>
      <c r="I104" s="190">
        <v>-60627.71000000002</v>
      </c>
      <c r="J104" s="190">
        <v>-50876.399999999994</v>
      </c>
      <c r="K104" s="190">
        <v>-53844.19</v>
      </c>
      <c r="L104" s="190">
        <v>-50028.46000000002</v>
      </c>
      <c r="M104" s="190">
        <v>-60203.73999999999</v>
      </c>
      <c r="N104" s="190">
        <v>-54692.130000000005</v>
      </c>
      <c r="O104" s="213">
        <v>-666904.8099999999</v>
      </c>
    </row>
    <row r="105" spans="1:15" ht="12.75">
      <c r="A105" s="245"/>
      <c r="B105" s="204" t="s">
        <v>26</v>
      </c>
      <c r="C105" s="212">
        <v>-4266.72455552067</v>
      </c>
      <c r="D105" s="190">
        <v>-2739.9064547706257</v>
      </c>
      <c r="E105" s="190">
        <v>-2279.76949290075</v>
      </c>
      <c r="F105" s="190">
        <v>-1756.8865816849816</v>
      </c>
      <c r="G105" s="190">
        <v>-2802.6524041165185</v>
      </c>
      <c r="H105" s="190">
        <v>-2760.821771219257</v>
      </c>
      <c r="I105" s="190">
        <v>-2990.8902521541945</v>
      </c>
      <c r="J105" s="190">
        <v>-2509.837973835688</v>
      </c>
      <c r="K105" s="190">
        <v>-2656.245188976103</v>
      </c>
      <c r="L105" s="190">
        <v>-2468.0073409384268</v>
      </c>
      <c r="M105" s="190">
        <v>-2969.974935705564</v>
      </c>
      <c r="N105" s="190">
        <v>-2698.0758218733645</v>
      </c>
      <c r="O105" s="213">
        <v>-32899.79277369614</v>
      </c>
    </row>
    <row r="106" spans="1:15" ht="12.75">
      <c r="A106" s="245"/>
      <c r="B106" s="204" t="s">
        <v>27</v>
      </c>
      <c r="C106" s="212">
        <v>-54134.524555520664</v>
      </c>
      <c r="D106" s="190">
        <v>-34762.856454770634</v>
      </c>
      <c r="E106" s="190">
        <v>-28924.819492900737</v>
      </c>
      <c r="F106" s="190">
        <v>-22290.686581684982</v>
      </c>
      <c r="G106" s="190">
        <v>-35558.952404116506</v>
      </c>
      <c r="H106" s="190">
        <v>-35028.22177121928</v>
      </c>
      <c r="I106" s="190">
        <v>-37947.2402521542</v>
      </c>
      <c r="J106" s="190">
        <v>-31843.83797383569</v>
      </c>
      <c r="K106" s="190">
        <v>-33701.395188976094</v>
      </c>
      <c r="L106" s="190">
        <v>-31313.107340938433</v>
      </c>
      <c r="M106" s="190">
        <v>-37681.87493570556</v>
      </c>
      <c r="N106" s="190">
        <v>-34232.125821873386</v>
      </c>
      <c r="O106" s="213">
        <v>-417419.6427736961</v>
      </c>
    </row>
    <row r="107" spans="1:15" ht="12.75">
      <c r="A107" s="245"/>
      <c r="B107" s="204" t="s">
        <v>49</v>
      </c>
      <c r="C107" s="212">
        <v>370755.72000000003</v>
      </c>
      <c r="D107" s="190">
        <v>238083.33000000002</v>
      </c>
      <c r="E107" s="190">
        <v>198099.87</v>
      </c>
      <c r="F107" s="190">
        <v>152664.12</v>
      </c>
      <c r="G107" s="190">
        <v>243535.62</v>
      </c>
      <c r="H107" s="190">
        <v>239900.76</v>
      </c>
      <c r="I107" s="190">
        <v>259892.49000000002</v>
      </c>
      <c r="J107" s="190">
        <v>218091.6</v>
      </c>
      <c r="K107" s="190">
        <v>230813.61000000002</v>
      </c>
      <c r="L107" s="190">
        <v>214456.74000000002</v>
      </c>
      <c r="M107" s="190">
        <v>258075.06</v>
      </c>
      <c r="N107" s="190">
        <v>234448.47</v>
      </c>
      <c r="O107" s="213">
        <v>2858817.3900000006</v>
      </c>
    </row>
    <row r="108" spans="1:15" ht="12.75">
      <c r="A108" s="245"/>
      <c r="B108" s="204" t="s">
        <v>88</v>
      </c>
      <c r="C108" s="212">
        <v>334133.64</v>
      </c>
      <c r="D108" s="190">
        <v>214566.21000000002</v>
      </c>
      <c r="E108" s="190">
        <v>178532.19</v>
      </c>
      <c r="F108" s="190">
        <v>137584.44</v>
      </c>
      <c r="G108" s="190">
        <v>219479.94</v>
      </c>
      <c r="H108" s="190">
        <v>216204.12000000002</v>
      </c>
      <c r="I108" s="190">
        <v>234221.13</v>
      </c>
      <c r="J108" s="190">
        <v>196549.2</v>
      </c>
      <c r="K108" s="190">
        <v>208014.57</v>
      </c>
      <c r="L108" s="190">
        <v>193273.38</v>
      </c>
      <c r="M108" s="190">
        <v>232583.22</v>
      </c>
      <c r="N108" s="190">
        <v>211290.39</v>
      </c>
      <c r="O108" s="213">
        <v>2576432.43</v>
      </c>
    </row>
    <row r="109" spans="1:15" ht="12.75">
      <c r="A109" s="245"/>
      <c r="B109" s="204" t="s">
        <v>90</v>
      </c>
      <c r="C109" s="212">
        <v>-36622.080000000016</v>
      </c>
      <c r="D109" s="190">
        <v>-23517.119999999995</v>
      </c>
      <c r="E109" s="190">
        <v>-19567.679999999993</v>
      </c>
      <c r="F109" s="190">
        <v>-15079.679999999993</v>
      </c>
      <c r="G109" s="190">
        <v>-24055.679999999993</v>
      </c>
      <c r="H109" s="190">
        <v>-23696.639999999985</v>
      </c>
      <c r="I109" s="190">
        <v>-25671.360000000015</v>
      </c>
      <c r="J109" s="190">
        <v>-21542.399999999994</v>
      </c>
      <c r="K109" s="190">
        <v>-22799.040000000008</v>
      </c>
      <c r="L109" s="190">
        <v>-21183.360000000015</v>
      </c>
      <c r="M109" s="190">
        <v>-25491.839999999997</v>
      </c>
      <c r="N109" s="190">
        <v>-23158.079999999987</v>
      </c>
      <c r="O109" s="213">
        <v>-282384.95999999996</v>
      </c>
    </row>
    <row r="110" spans="1:15" ht="12.75">
      <c r="A110" s="197" t="s">
        <v>83</v>
      </c>
      <c r="B110" s="197" t="s">
        <v>70</v>
      </c>
      <c r="C110" s="206">
        <v>69673</v>
      </c>
      <c r="D110" s="207">
        <v>61312.240000000005</v>
      </c>
      <c r="E110" s="207">
        <v>43197.26</v>
      </c>
      <c r="F110" s="207">
        <v>32049.58</v>
      </c>
      <c r="G110" s="207">
        <v>58525.32</v>
      </c>
      <c r="H110" s="207">
        <v>66886.08</v>
      </c>
      <c r="I110" s="207">
        <v>73853.38</v>
      </c>
      <c r="J110" s="207">
        <v>62705.700000000004</v>
      </c>
      <c r="K110" s="207">
        <v>59918.78</v>
      </c>
      <c r="L110" s="207">
        <v>48771.1</v>
      </c>
      <c r="M110" s="207">
        <v>48771.1</v>
      </c>
      <c r="N110" s="207">
        <v>50164.56</v>
      </c>
      <c r="O110" s="208">
        <v>675828.1000000001</v>
      </c>
    </row>
    <row r="111" spans="1:15" ht="12.75">
      <c r="A111" s="245"/>
      <c r="B111" s="204" t="s">
        <v>25</v>
      </c>
      <c r="C111" s="212">
        <v>-21198.5</v>
      </c>
      <c r="D111" s="190">
        <v>-18654.679999999993</v>
      </c>
      <c r="E111" s="190">
        <v>-13143.07</v>
      </c>
      <c r="F111" s="190">
        <v>-9751.309999999998</v>
      </c>
      <c r="G111" s="190">
        <v>-17806.739999999998</v>
      </c>
      <c r="H111" s="190">
        <v>-20350.559999999998</v>
      </c>
      <c r="I111" s="190">
        <v>-22470.410000000003</v>
      </c>
      <c r="J111" s="190">
        <v>-19078.65</v>
      </c>
      <c r="K111" s="190">
        <v>-18230.710000000006</v>
      </c>
      <c r="L111" s="190">
        <v>-14838.950000000004</v>
      </c>
      <c r="M111" s="190">
        <v>-14838.950000000004</v>
      </c>
      <c r="N111" s="190">
        <v>-15262.920000000006</v>
      </c>
      <c r="O111" s="213">
        <v>-205625.45000000004</v>
      </c>
    </row>
    <row r="112" spans="1:15" ht="12.75">
      <c r="A112" s="245"/>
      <c r="B112" s="204" t="s">
        <v>26</v>
      </c>
      <c r="C112" s="212">
        <v>-1045.7658224315367</v>
      </c>
      <c r="D112" s="190">
        <v>-920.2739237397523</v>
      </c>
      <c r="E112" s="190">
        <v>-648.3748099075527</v>
      </c>
      <c r="F112" s="190">
        <v>-481.05227831850686</v>
      </c>
      <c r="G112" s="190">
        <v>-878.4432908424908</v>
      </c>
      <c r="H112" s="190">
        <v>-1003.9351895342752</v>
      </c>
      <c r="I112" s="190">
        <v>-1108.511771777429</v>
      </c>
      <c r="J112" s="190">
        <v>-941.189240188383</v>
      </c>
      <c r="K112" s="190">
        <v>-899.3586072911215</v>
      </c>
      <c r="L112" s="190">
        <v>-732.0360757020757</v>
      </c>
      <c r="M112" s="190">
        <v>-732.0360757020757</v>
      </c>
      <c r="N112" s="190">
        <v>-752.9513921507064</v>
      </c>
      <c r="O112" s="213">
        <v>-10143.928477585905</v>
      </c>
    </row>
    <row r="113" spans="1:15" ht="12.75">
      <c r="A113" s="245"/>
      <c r="B113" s="204" t="s">
        <v>27</v>
      </c>
      <c r="C113" s="212">
        <v>-13268.265822431538</v>
      </c>
      <c r="D113" s="190">
        <v>-11676.073923739754</v>
      </c>
      <c r="E113" s="190">
        <v>-8226.32480990755</v>
      </c>
      <c r="F113" s="190">
        <v>-6103.402278318505</v>
      </c>
      <c r="G113" s="190">
        <v>-11145.343290842491</v>
      </c>
      <c r="H113" s="190">
        <v>-12737.535189534283</v>
      </c>
      <c r="I113" s="190">
        <v>-14064.361771777436</v>
      </c>
      <c r="J113" s="190">
        <v>-11941.439240188374</v>
      </c>
      <c r="K113" s="190">
        <v>-11410.708607291126</v>
      </c>
      <c r="L113" s="190">
        <v>-9287.786075702083</v>
      </c>
      <c r="M113" s="190">
        <v>-9287.786075702083</v>
      </c>
      <c r="N113" s="190">
        <v>-9553.15139215071</v>
      </c>
      <c r="O113" s="213">
        <v>-128702.17847758594</v>
      </c>
    </row>
    <row r="114" spans="1:15" ht="12.75">
      <c r="A114" s="245"/>
      <c r="B114" s="204" t="s">
        <v>49</v>
      </c>
      <c r="C114" s="212">
        <v>90871.5</v>
      </c>
      <c r="D114" s="190">
        <v>79966.92</v>
      </c>
      <c r="E114" s="190">
        <v>56340.33</v>
      </c>
      <c r="F114" s="190">
        <v>41800.89</v>
      </c>
      <c r="G114" s="190">
        <v>76332.06</v>
      </c>
      <c r="H114" s="190">
        <v>87236.64</v>
      </c>
      <c r="I114" s="190">
        <v>96323.79000000001</v>
      </c>
      <c r="J114" s="190">
        <v>81784.35</v>
      </c>
      <c r="K114" s="190">
        <v>78149.49</v>
      </c>
      <c r="L114" s="190">
        <v>63610.05</v>
      </c>
      <c r="M114" s="190">
        <v>63610.05</v>
      </c>
      <c r="N114" s="190">
        <v>65427.48</v>
      </c>
      <c r="O114" s="213">
        <v>881453.55</v>
      </c>
    </row>
    <row r="115" spans="1:15" ht="12.75">
      <c r="A115" s="245"/>
      <c r="B115" s="204" t="s">
        <v>88</v>
      </c>
      <c r="C115" s="212">
        <v>81895.5</v>
      </c>
      <c r="D115" s="190">
        <v>72068.04000000001</v>
      </c>
      <c r="E115" s="190">
        <v>50775.21</v>
      </c>
      <c r="F115" s="190">
        <v>37671.93</v>
      </c>
      <c r="G115" s="190">
        <v>68792.22</v>
      </c>
      <c r="H115" s="190">
        <v>78619.68000000001</v>
      </c>
      <c r="I115" s="190">
        <v>86809.23000000001</v>
      </c>
      <c r="J115" s="190">
        <v>73705.95</v>
      </c>
      <c r="K115" s="190">
        <v>70430.13</v>
      </c>
      <c r="L115" s="190">
        <v>57326.850000000006</v>
      </c>
      <c r="M115" s="190">
        <v>57326.850000000006</v>
      </c>
      <c r="N115" s="190">
        <v>58964.76</v>
      </c>
      <c r="O115" s="213">
        <v>794386.35</v>
      </c>
    </row>
    <row r="116" spans="1:15" ht="12.75">
      <c r="A116" s="245"/>
      <c r="B116" s="204" t="s">
        <v>90</v>
      </c>
      <c r="C116" s="212">
        <v>-8976</v>
      </c>
      <c r="D116" s="190">
        <v>-7898.87999999999</v>
      </c>
      <c r="E116" s="190">
        <v>-5565.120000000003</v>
      </c>
      <c r="F116" s="190">
        <v>-4128.959999999999</v>
      </c>
      <c r="G116" s="190">
        <v>-7539.8399999999965</v>
      </c>
      <c r="H116" s="190">
        <v>-8616.959999999992</v>
      </c>
      <c r="I116" s="190">
        <v>-9514.559999999998</v>
      </c>
      <c r="J116" s="190">
        <v>-8078.400000000009</v>
      </c>
      <c r="K116" s="190">
        <v>-7719.360000000001</v>
      </c>
      <c r="L116" s="190">
        <v>-6283.199999999997</v>
      </c>
      <c r="M116" s="190">
        <v>-6283.199999999997</v>
      </c>
      <c r="N116" s="190">
        <v>-6462.720000000001</v>
      </c>
      <c r="O116" s="213">
        <v>-87067.19999999998</v>
      </c>
    </row>
    <row r="117" spans="1:15" ht="12.75">
      <c r="A117" s="197" t="s">
        <v>71</v>
      </c>
      <c r="B117" s="198"/>
      <c r="C117" s="206">
        <v>13315903.76</v>
      </c>
      <c r="D117" s="207">
        <v>10818823.440000001</v>
      </c>
      <c r="E117" s="207">
        <v>8957160.88</v>
      </c>
      <c r="F117" s="207">
        <v>8466662.96</v>
      </c>
      <c r="G117" s="207">
        <v>12925734.960000003</v>
      </c>
      <c r="H117" s="207">
        <v>13912304.640000002</v>
      </c>
      <c r="I117" s="207">
        <v>14575591.600000001</v>
      </c>
      <c r="J117" s="207">
        <v>13471971.279999997</v>
      </c>
      <c r="K117" s="207">
        <v>13258771.900000002</v>
      </c>
      <c r="L117" s="207">
        <v>11872279.2</v>
      </c>
      <c r="M117" s="207">
        <v>10671116.680000002</v>
      </c>
      <c r="N117" s="207">
        <v>10607017.520000001</v>
      </c>
      <c r="O117" s="208">
        <v>142853338.82</v>
      </c>
    </row>
    <row r="118" spans="1:15" ht="12.75">
      <c r="A118" s="197" t="s">
        <v>28</v>
      </c>
      <c r="B118" s="198"/>
      <c r="C118" s="214">
        <v>-4051457.319999999</v>
      </c>
      <c r="D118" s="215">
        <v>-3291703.080000001</v>
      </c>
      <c r="E118" s="215">
        <v>-2725279.1599999997</v>
      </c>
      <c r="F118" s="215">
        <v>-2576041.720000001</v>
      </c>
      <c r="G118" s="215">
        <v>-3932745.72</v>
      </c>
      <c r="H118" s="215">
        <v>-4232916.479999999</v>
      </c>
      <c r="I118" s="215">
        <v>-4434726.200000001</v>
      </c>
      <c r="J118" s="215">
        <v>-4098941.959999999</v>
      </c>
      <c r="K118" s="215">
        <v>-4034074.5499999993</v>
      </c>
      <c r="L118" s="215">
        <v>-3612224.4000000004</v>
      </c>
      <c r="M118" s="215">
        <v>-3246762.2600000007</v>
      </c>
      <c r="N118" s="215">
        <v>-3227259.6399999997</v>
      </c>
      <c r="O118" s="216">
        <v>-43464132.49000001</v>
      </c>
    </row>
    <row r="119" spans="1:15" ht="12.75">
      <c r="A119" s="197" t="s">
        <v>29</v>
      </c>
      <c r="B119" s="198"/>
      <c r="C119" s="214">
        <v>-199866.7639831153</v>
      </c>
      <c r="D119" s="215">
        <v>-162386.51690716902</v>
      </c>
      <c r="E119" s="215">
        <v>-134443.65413179836</v>
      </c>
      <c r="F119" s="215">
        <v>-127081.46274188034</v>
      </c>
      <c r="G119" s="215">
        <v>-194010.4753774987</v>
      </c>
      <c r="H119" s="215">
        <v>-208818.51942312924</v>
      </c>
      <c r="I119" s="215">
        <v>-218774.21005267746</v>
      </c>
      <c r="J119" s="215">
        <v>-202209.27942536195</v>
      </c>
      <c r="K119" s="215">
        <v>-199009.23600872143</v>
      </c>
      <c r="L119" s="215">
        <v>-178198.49614233384</v>
      </c>
      <c r="M119" s="215">
        <v>-160169.4933636142</v>
      </c>
      <c r="N119" s="215">
        <v>-159207.38880697713</v>
      </c>
      <c r="O119" s="216">
        <v>-2144175.496364277</v>
      </c>
    </row>
    <row r="120" spans="1:15" ht="12.75">
      <c r="A120" s="197" t="s">
        <v>30</v>
      </c>
      <c r="B120" s="198"/>
      <c r="C120" s="214">
        <v>-2535830.9639831157</v>
      </c>
      <c r="D120" s="215">
        <v>-2060296.3169071702</v>
      </c>
      <c r="E120" s="215">
        <v>-1705768.254131798</v>
      </c>
      <c r="F120" s="215">
        <v>-1612359.6627418813</v>
      </c>
      <c r="G120" s="215">
        <v>-2461528.675377499</v>
      </c>
      <c r="H120" s="215">
        <v>-2649407.319423129</v>
      </c>
      <c r="I120" s="215">
        <v>-2775721.210052678</v>
      </c>
      <c r="J120" s="215">
        <v>-2565551.8794253618</v>
      </c>
      <c r="K120" s="215">
        <v>-2524950.986008722</v>
      </c>
      <c r="L120" s="215">
        <v>-2260912.496142334</v>
      </c>
      <c r="M120" s="215">
        <v>-2032167.5933636145</v>
      </c>
      <c r="N120" s="215">
        <v>-2019960.7888069781</v>
      </c>
      <c r="O120" s="216">
        <v>-27204456.14636428</v>
      </c>
    </row>
    <row r="121" spans="1:15" ht="12.75">
      <c r="A121" s="197" t="s">
        <v>61</v>
      </c>
      <c r="B121" s="198"/>
      <c r="C121" s="206">
        <v>17367361.080000002</v>
      </c>
      <c r="D121" s="207">
        <v>14110526.52</v>
      </c>
      <c r="E121" s="207">
        <v>11682440.04</v>
      </c>
      <c r="F121" s="207">
        <v>11042704.68</v>
      </c>
      <c r="G121" s="207">
        <v>16858480.679999996</v>
      </c>
      <c r="H121" s="207">
        <v>18145221.120000005</v>
      </c>
      <c r="I121" s="207">
        <v>19010317.799999993</v>
      </c>
      <c r="J121" s="207">
        <v>17570913.240000002</v>
      </c>
      <c r="K121" s="207">
        <v>17292846.45</v>
      </c>
      <c r="L121" s="207">
        <v>15484503.600000001</v>
      </c>
      <c r="M121" s="207">
        <v>13917878.940000001</v>
      </c>
      <c r="N121" s="207">
        <v>13834277.160000002</v>
      </c>
      <c r="O121" s="208">
        <v>186317471.31</v>
      </c>
    </row>
    <row r="122" spans="1:15" ht="12.75">
      <c r="A122" s="197" t="s">
        <v>89</v>
      </c>
      <c r="B122" s="198"/>
      <c r="C122" s="206">
        <v>15651867.959999999</v>
      </c>
      <c r="D122" s="207">
        <v>12716733.240000002</v>
      </c>
      <c r="E122" s="207">
        <v>10528485.480000002</v>
      </c>
      <c r="F122" s="207">
        <v>9951941.159999998</v>
      </c>
      <c r="G122" s="207">
        <v>15193253.16</v>
      </c>
      <c r="H122" s="207">
        <v>16352893.44</v>
      </c>
      <c r="I122" s="207">
        <v>17132538.6</v>
      </c>
      <c r="J122" s="207">
        <v>15835313.879999999</v>
      </c>
      <c r="K122" s="207">
        <v>15584713.650000002</v>
      </c>
      <c r="L122" s="207">
        <v>13954993.2</v>
      </c>
      <c r="M122" s="207">
        <v>12543114.780000001</v>
      </c>
      <c r="N122" s="207">
        <v>12467770.920000002</v>
      </c>
      <c r="O122" s="208">
        <v>167913619.47000003</v>
      </c>
    </row>
    <row r="123" spans="1:15" ht="12.75">
      <c r="A123" s="205" t="s">
        <v>91</v>
      </c>
      <c r="B123" s="246"/>
      <c r="C123" s="217">
        <v>-1715493.1199999982</v>
      </c>
      <c r="D123" s="218">
        <v>-1393793.2799999993</v>
      </c>
      <c r="E123" s="218">
        <v>-1153954.56</v>
      </c>
      <c r="F123" s="218">
        <v>-1090763.5199999996</v>
      </c>
      <c r="G123" s="218">
        <v>-1665227.5199999996</v>
      </c>
      <c r="H123" s="218">
        <v>-1792327.679999999</v>
      </c>
      <c r="I123" s="218">
        <v>-1877779.2000000004</v>
      </c>
      <c r="J123" s="218">
        <v>-1735599.359999999</v>
      </c>
      <c r="K123" s="218">
        <v>-1708132.799999999</v>
      </c>
      <c r="L123" s="218">
        <v>-1529510.4000000001</v>
      </c>
      <c r="M123" s="218">
        <v>-1374764.1600000006</v>
      </c>
      <c r="N123" s="218">
        <v>-1366506.2399999988</v>
      </c>
      <c r="O123" s="219">
        <v>-18403851.839999996</v>
      </c>
    </row>
  </sheetData>
  <sheetProtection/>
  <printOptions/>
  <pageMargins left="0.5" right="0.5" top="0.73" bottom="0.98" header="0.5" footer="0.5"/>
  <pageSetup fitToHeight="0" fitToWidth="1" horizontalDpi="1200" verticalDpi="1200" orientation="landscape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0"/>
  <sheetViews>
    <sheetView showGridLines="0" zoomScaleSheetLayoutView="100" zoomScalePageLayoutView="0" workbookViewId="0" topLeftCell="B1">
      <selection activeCell="E3" sqref="E3"/>
    </sheetView>
  </sheetViews>
  <sheetFormatPr defaultColWidth="9.140625" defaultRowHeight="12.75"/>
  <cols>
    <col min="1" max="1" width="0.5625" style="0" customWidth="1"/>
    <col min="2" max="2" width="10.28125" style="0" bestFit="1" customWidth="1"/>
    <col min="3" max="3" width="10.7109375" style="0" bestFit="1" customWidth="1"/>
    <col min="4" max="4" width="11.00390625" style="3" customWidth="1"/>
    <col min="5" max="5" width="24.28125" style="0" customWidth="1"/>
    <col min="6" max="6" width="7.7109375" style="3" customWidth="1"/>
    <col min="7" max="7" width="6.7109375" style="3" customWidth="1"/>
    <col min="8" max="8" width="11.140625" style="3" bestFit="1" customWidth="1"/>
    <col min="9" max="9" width="11.28125" style="6" customWidth="1"/>
    <col min="10" max="10" width="14.8515625" style="3" bestFit="1" customWidth="1"/>
    <col min="11" max="11" width="14.8515625" style="11" bestFit="1" customWidth="1"/>
    <col min="12" max="12" width="14.7109375" style="3" customWidth="1"/>
    <col min="13" max="13" width="13.421875" style="10" bestFit="1" customWidth="1"/>
    <col min="14" max="15" width="13.421875" style="10" customWidth="1"/>
    <col min="16" max="16" width="14.8515625" style="10" bestFit="1" customWidth="1"/>
    <col min="17" max="17" width="13.421875" style="10" customWidth="1"/>
    <col min="18" max="18" width="15.57421875" style="13" customWidth="1"/>
  </cols>
  <sheetData>
    <row r="1" spans="2:18" ht="22.5">
      <c r="B1" s="5" t="s">
        <v>104</v>
      </c>
      <c r="C1" s="1"/>
      <c r="D1" s="4"/>
      <c r="E1" s="1"/>
      <c r="F1" s="155" t="s">
        <v>12</v>
      </c>
      <c r="G1" s="156"/>
      <c r="H1" s="157"/>
      <c r="I1" s="65"/>
      <c r="J1" s="66" t="str">
        <f>"True-Up ARR
(CY"&amp;R1&amp;")"</f>
        <v>True-Up ARR
(CY2018)</v>
      </c>
      <c r="K1" s="66" t="str">
        <f>"Projected ARR
(Jan'"&amp;RIGHT(R$1,2)&amp;" - Dec'"&amp;RIGHT(R$1,2)&amp;")"</f>
        <v>Projected ARR
(Jan'18 - Dec'18)</v>
      </c>
      <c r="L1" s="144" t="s">
        <v>45</v>
      </c>
      <c r="M1" s="152"/>
      <c r="N1" s="8"/>
      <c r="O1" s="8"/>
      <c r="P1" s="8"/>
      <c r="Q1" s="8"/>
      <c r="R1" s="179">
        <v>2018</v>
      </c>
    </row>
    <row r="2" spans="2:18" ht="12.75">
      <c r="B2" s="5" t="s">
        <v>52</v>
      </c>
      <c r="C2" s="1"/>
      <c r="D2" s="4"/>
      <c r="E2" s="1"/>
      <c r="F2" s="61">
        <v>9</v>
      </c>
      <c r="G2" s="248"/>
      <c r="H2" s="248"/>
      <c r="I2" s="129" t="s">
        <v>6</v>
      </c>
      <c r="J2" s="180">
        <v>142851680.2536123</v>
      </c>
      <c r="K2" s="180">
        <v>178114957.88937774</v>
      </c>
      <c r="L2" s="188"/>
      <c r="M2" s="147"/>
      <c r="N2" s="8"/>
      <c r="O2" s="8"/>
      <c r="P2" s="180">
        <v>160521796.09615284</v>
      </c>
      <c r="Q2" s="180"/>
      <c r="R2"/>
    </row>
    <row r="3" spans="2:18" ht="12.75">
      <c r="B3" s="5" t="str">
        <f>"for CY"&amp;R1&amp;" SPP Network Transmission Service"</f>
        <v>for CY2018 SPP Network Transmission Service</v>
      </c>
      <c r="C3" s="1"/>
      <c r="D3" s="4"/>
      <c r="E3" s="1"/>
      <c r="F3" s="61"/>
      <c r="G3" s="248"/>
      <c r="H3" s="248"/>
      <c r="I3" s="129" t="s">
        <v>10</v>
      </c>
      <c r="J3" s="181">
        <v>1393.46</v>
      </c>
      <c r="K3" s="181">
        <v>1817.43</v>
      </c>
      <c r="L3" s="145" t="str">
        <f>"Inv. Jan-Dec'"&amp;RIGHT(R1,2)</f>
        <v>Inv. Jan-Dec'18</v>
      </c>
      <c r="M3" s="147"/>
      <c r="N3" s="8"/>
      <c r="O3" s="8"/>
      <c r="P3" s="181">
        <v>1637.91</v>
      </c>
      <c r="Q3" s="181"/>
      <c r="R3"/>
    </row>
    <row r="4" spans="2:18" ht="12.75">
      <c r="B4" s="57"/>
      <c r="C4" s="1"/>
      <c r="D4" s="4"/>
      <c r="E4" s="1"/>
      <c r="F4" s="61"/>
      <c r="G4" s="10"/>
      <c r="H4" s="10"/>
      <c r="I4" s="150"/>
      <c r="J4" s="10"/>
      <c r="K4" s="41"/>
      <c r="L4" s="10"/>
      <c r="M4" s="62"/>
      <c r="R4"/>
    </row>
    <row r="5" spans="2:18" ht="12.75">
      <c r="B5" s="57"/>
      <c r="C5" s="1"/>
      <c r="D5" s="4"/>
      <c r="E5" s="1"/>
      <c r="F5" s="61"/>
      <c r="G5" s="10"/>
      <c r="H5" s="10"/>
      <c r="I5" s="129"/>
      <c r="J5" s="10"/>
      <c r="K5" s="41"/>
      <c r="L5" s="10"/>
      <c r="M5" s="148"/>
      <c r="N5" s="223"/>
      <c r="O5" s="223"/>
      <c r="P5" s="223"/>
      <c r="Q5" s="223"/>
      <c r="R5" s="16"/>
    </row>
    <row r="6" spans="2:18" ht="12.75">
      <c r="B6" s="5" t="s">
        <v>23</v>
      </c>
      <c r="D6" s="4"/>
      <c r="E6" s="1"/>
      <c r="F6" s="158"/>
      <c r="G6" s="153"/>
      <c r="H6" s="154"/>
      <c r="I6" s="220"/>
      <c r="J6" s="221"/>
      <c r="K6" s="221"/>
      <c r="L6" s="222"/>
      <c r="M6" s="148"/>
      <c r="N6" s="223"/>
      <c r="O6" s="223"/>
      <c r="P6" s="223"/>
      <c r="Q6" s="223"/>
      <c r="R6"/>
    </row>
    <row r="7" spans="2:18" ht="12.75">
      <c r="B7" s="57" t="s">
        <v>77</v>
      </c>
      <c r="D7" s="4"/>
      <c r="E7" s="1"/>
      <c r="F7" s="61"/>
      <c r="G7" s="249"/>
      <c r="H7" s="248"/>
      <c r="I7" s="129"/>
      <c r="J7" s="78"/>
      <c r="K7" s="188"/>
      <c r="L7" s="188"/>
      <c r="M7" s="149"/>
      <c r="N7" s="224"/>
      <c r="O7" s="224"/>
      <c r="P7" s="224"/>
      <c r="Q7" s="224"/>
      <c r="R7"/>
    </row>
    <row r="8" spans="2:18" ht="12.75">
      <c r="B8" s="5"/>
      <c r="C8" s="1"/>
      <c r="D8" s="4"/>
      <c r="E8" s="1"/>
      <c r="F8" s="61"/>
      <c r="G8" s="248"/>
      <c r="H8" s="248"/>
      <c r="I8" s="129"/>
      <c r="J8" s="38"/>
      <c r="K8" s="188"/>
      <c r="L8" s="146"/>
      <c r="M8" s="147"/>
      <c r="N8" s="8"/>
      <c r="O8" s="8"/>
      <c r="P8" s="8"/>
      <c r="Q8" s="8"/>
      <c r="R8" s="16"/>
    </row>
    <row r="9" spans="2:18" ht="12.75">
      <c r="B9" s="25"/>
      <c r="C9" s="1"/>
      <c r="D9" s="4"/>
      <c r="E9" s="1"/>
      <c r="F9" s="61"/>
      <c r="G9" s="10"/>
      <c r="H9" s="10"/>
      <c r="I9" s="168"/>
      <c r="J9" s="169"/>
      <c r="K9" s="170"/>
      <c r="L9" s="171"/>
      <c r="M9" s="147"/>
      <c r="N9" s="8"/>
      <c r="O9" s="8"/>
      <c r="P9" s="8"/>
      <c r="Q9" s="8"/>
      <c r="R9" s="16"/>
    </row>
    <row r="10" spans="2:18" ht="13.5" thickBot="1">
      <c r="B10" s="57"/>
      <c r="D10"/>
      <c r="E10" s="26"/>
      <c r="F10" s="63"/>
      <c r="G10" s="64"/>
      <c r="H10" s="31"/>
      <c r="I10" s="172"/>
      <c r="J10" s="79"/>
      <c r="K10" s="79"/>
      <c r="L10" s="173"/>
      <c r="M10" s="151"/>
      <c r="R10" s="116"/>
    </row>
    <row r="11" spans="2:18" ht="12.75">
      <c r="B11" s="182"/>
      <c r="E11" s="26"/>
      <c r="L11" s="7"/>
      <c r="M11"/>
      <c r="N11"/>
      <c r="O11"/>
      <c r="P11"/>
      <c r="Q11"/>
      <c r="R11" s="16"/>
    </row>
    <row r="12" spans="5:18" ht="12.75">
      <c r="E12" s="26"/>
      <c r="L12" s="7"/>
      <c r="R12" s="115" t="s">
        <v>60</v>
      </c>
    </row>
    <row r="13" spans="5:18" ht="12.75">
      <c r="E13" s="26"/>
      <c r="F13" s="138"/>
      <c r="G13" s="139"/>
      <c r="H13" s="139"/>
      <c r="I13" s="135" t="s">
        <v>58</v>
      </c>
      <c r="J13" s="67">
        <f aca="true" t="shared" si="0" ref="J13:R13">SUM(J56:J211)</f>
        <v>35339539.060000025</v>
      </c>
      <c r="K13" s="67">
        <f t="shared" si="0"/>
        <v>46091842.22999997</v>
      </c>
      <c r="L13" s="72">
        <f t="shared" si="0"/>
        <v>-10752303.17</v>
      </c>
      <c r="M13" s="68">
        <f t="shared" si="0"/>
        <v>-530433.340453724</v>
      </c>
      <c r="N13" s="67">
        <f t="shared" si="0"/>
        <v>-11282736.510453725</v>
      </c>
      <c r="O13" s="67">
        <f t="shared" si="0"/>
        <v>255513.96000000046</v>
      </c>
      <c r="P13" s="67">
        <f t="shared" si="0"/>
        <v>41539035.509999946</v>
      </c>
      <c r="Q13" s="67">
        <f t="shared" si="0"/>
        <v>-4552806.719999999</v>
      </c>
      <c r="R13" s="72">
        <f t="shared" si="0"/>
        <v>-6729929.790453726</v>
      </c>
    </row>
    <row r="14" spans="5:18" ht="12.75">
      <c r="E14" s="26"/>
      <c r="F14" s="42"/>
      <c r="G14" s="42"/>
      <c r="H14" s="42"/>
      <c r="I14" s="137" t="s">
        <v>59</v>
      </c>
      <c r="J14" s="67">
        <f>SUM(J20:J211)</f>
        <v>142853338.8199999</v>
      </c>
      <c r="K14" s="67">
        <f>SUM(K20:K211)</f>
        <v>186317471.31000018</v>
      </c>
      <c r="L14" s="72">
        <f>SUM(L20:L211)</f>
        <v>-43464132.48999995</v>
      </c>
      <c r="M14" s="68">
        <v>-2144175.496364277</v>
      </c>
      <c r="N14" s="67">
        <f>SUM(N20:N211)</f>
        <v>-45608307.98636426</v>
      </c>
      <c r="O14" s="67">
        <f>SUM(O20:O211)</f>
        <v>314478.7199999997</v>
      </c>
      <c r="P14" s="67">
        <f>SUM(P20:P211)</f>
        <v>167913619.46999997</v>
      </c>
      <c r="Q14" s="67">
        <f>SUM(Q20:Q211)</f>
        <v>-18403851.83999999</v>
      </c>
      <c r="R14" s="72">
        <f>SUM(R20:R211)</f>
        <v>-27204456.146364275</v>
      </c>
    </row>
    <row r="15" spans="2:18" ht="12.75">
      <c r="B15" s="58" t="s">
        <v>82</v>
      </c>
      <c r="E15" s="26"/>
      <c r="J15" s="6"/>
      <c r="L15" s="7"/>
      <c r="M15" s="17"/>
      <c r="N15" s="17"/>
      <c r="O15" s="17"/>
      <c r="P15" s="17"/>
      <c r="Q15" s="17"/>
      <c r="R15" s="73" t="s">
        <v>20</v>
      </c>
    </row>
    <row r="16" spans="2:18" ht="12.75">
      <c r="B16" s="80" t="str">
        <f>"** Actual Trued-Up CY"&amp;R1&amp;" Charge reflects "&amp;R1&amp;" True-UP Rate x MW"</f>
        <v>** Actual Trued-Up CY2018 Charge reflects 2018 True-UP Rate x MW</v>
      </c>
      <c r="E16" s="26"/>
      <c r="F16" s="10"/>
      <c r="G16" s="2"/>
      <c r="J16" s="36"/>
      <c r="L16" s="43" t="s">
        <v>11</v>
      </c>
      <c r="M16" s="17"/>
      <c r="N16" s="17"/>
      <c r="O16" s="17"/>
      <c r="P16" s="17"/>
      <c r="Q16" s="17"/>
      <c r="R16" s="18"/>
    </row>
    <row r="17" spans="2:18" ht="12.75">
      <c r="B17" s="40" t="s">
        <v>62</v>
      </c>
      <c r="E17" s="26"/>
      <c r="I17" s="22"/>
      <c r="J17" s="32"/>
      <c r="K17" s="21"/>
      <c r="L17" s="21"/>
      <c r="M17" s="21"/>
      <c r="N17" s="21"/>
      <c r="O17" s="21"/>
      <c r="P17" s="21"/>
      <c r="Q17" s="21"/>
      <c r="R17" s="56"/>
    </row>
    <row r="18" spans="9:18" ht="3" customHeight="1">
      <c r="I18" s="33"/>
      <c r="J18" s="32"/>
      <c r="K18" s="33"/>
      <c r="L18" s="33"/>
      <c r="M18" s="12"/>
      <c r="N18" s="12"/>
      <c r="O18" s="12"/>
      <c r="P18" s="12"/>
      <c r="Q18" s="12"/>
      <c r="R18" s="14"/>
    </row>
    <row r="19" spans="2:18" ht="38.25" customHeight="1">
      <c r="B19" s="49" t="s">
        <v>53</v>
      </c>
      <c r="C19" s="50" t="s">
        <v>4</v>
      </c>
      <c r="D19" s="50" t="s">
        <v>5</v>
      </c>
      <c r="E19" s="51" t="s">
        <v>0</v>
      </c>
      <c r="F19" s="55" t="s">
        <v>12</v>
      </c>
      <c r="G19" s="52" t="s">
        <v>1</v>
      </c>
      <c r="H19" s="128" t="s">
        <v>48</v>
      </c>
      <c r="I19" s="128" t="s">
        <v>46</v>
      </c>
      <c r="J19" s="141" t="str">
        <f>"True-Up Charge"</f>
        <v>True-Up Charge</v>
      </c>
      <c r="K19" s="141" t="s">
        <v>47</v>
      </c>
      <c r="L19" s="53" t="s">
        <v>3</v>
      </c>
      <c r="M19" s="54" t="s">
        <v>7</v>
      </c>
      <c r="N19" s="225" t="s">
        <v>87</v>
      </c>
      <c r="O19" s="225" t="s">
        <v>84</v>
      </c>
      <c r="P19" s="225" t="s">
        <v>85</v>
      </c>
      <c r="Q19" s="225" t="s">
        <v>86</v>
      </c>
      <c r="R19" s="24" t="s">
        <v>2</v>
      </c>
    </row>
    <row r="20" spans="1:18" s="8" customFormat="1" ht="12.75" customHeight="1">
      <c r="A20" s="10">
        <v>1</v>
      </c>
      <c r="B20" s="9">
        <f>DATE($R$1,A20,1)</f>
        <v>43101</v>
      </c>
      <c r="C20" s="191">
        <v>43136</v>
      </c>
      <c r="D20" s="191">
        <v>43151</v>
      </c>
      <c r="E20" s="60" t="s">
        <v>21</v>
      </c>
      <c r="F20" s="10">
        <v>9</v>
      </c>
      <c r="G20" s="194">
        <v>3179</v>
      </c>
      <c r="H20" s="126">
        <f aca="true" t="shared" si="1" ref="H20:H83">$K$3</f>
        <v>1817.43</v>
      </c>
      <c r="I20" s="126">
        <f aca="true" t="shared" si="2" ref="I20:I63">$J$3</f>
        <v>1393.46</v>
      </c>
      <c r="J20" s="28">
        <f aca="true" t="shared" si="3" ref="J20:J108">+$G20*I20</f>
        <v>4429809.34</v>
      </c>
      <c r="K20" s="29">
        <f>+$G20*H20</f>
        <v>5777609.97</v>
      </c>
      <c r="L20" s="30">
        <f aca="true" t="shared" si="4" ref="L20:L34">+J20-K20</f>
        <v>-1347800.63</v>
      </c>
      <c r="M20" s="27">
        <f>G20/$G$212*$M$14</f>
        <v>-66489.7909901971</v>
      </c>
      <c r="N20" s="19">
        <f>SUM(L20:M20)</f>
        <v>-1414290.420990197</v>
      </c>
      <c r="O20" s="27">
        <f>+$P$3</f>
        <v>1637.91</v>
      </c>
      <c r="P20" s="27">
        <f>+G20*O20</f>
        <v>5206915.890000001</v>
      </c>
      <c r="Q20" s="27">
        <f>+P20-K20</f>
        <v>-570694.0799999991</v>
      </c>
      <c r="R20" s="19">
        <f>+N20-Q20</f>
        <v>-843596.3409901978</v>
      </c>
    </row>
    <row r="21" spans="1:18" ht="12.75">
      <c r="A21" s="3">
        <v>2</v>
      </c>
      <c r="B21" s="9">
        <f aca="true" t="shared" si="5" ref="B21:B108">DATE($R$1,A21,1)</f>
        <v>43132</v>
      </c>
      <c r="C21" s="191">
        <v>43164</v>
      </c>
      <c r="D21" s="191">
        <v>43179</v>
      </c>
      <c r="E21" s="35" t="s">
        <v>21</v>
      </c>
      <c r="F21" s="3">
        <v>9</v>
      </c>
      <c r="G21" s="194">
        <v>2790</v>
      </c>
      <c r="H21" s="126">
        <f t="shared" si="1"/>
        <v>1817.43</v>
      </c>
      <c r="I21" s="126">
        <f t="shared" si="2"/>
        <v>1393.46</v>
      </c>
      <c r="J21" s="28">
        <f t="shared" si="3"/>
        <v>3887753.4</v>
      </c>
      <c r="K21" s="29">
        <f aca="true" t="shared" si="6" ref="K21:K33">+$G21*H21</f>
        <v>5070629.7</v>
      </c>
      <c r="L21" s="30">
        <f t="shared" si="4"/>
        <v>-1182876.3000000003</v>
      </c>
      <c r="M21" s="27">
        <f aca="true" t="shared" si="7" ref="M21:M84">G21/$G$212*$M$14</f>
        <v>-58353.73289167974</v>
      </c>
      <c r="N21" s="19">
        <f aca="true" t="shared" si="8" ref="N21:N84">SUM(L21:M21)</f>
        <v>-1241230.03289168</v>
      </c>
      <c r="O21" s="27">
        <f aca="true" t="shared" si="9" ref="O21:O84">+$P$3</f>
        <v>1637.91</v>
      </c>
      <c r="P21" s="27">
        <f aca="true" t="shared" si="10" ref="P21:P84">+G21*O21</f>
        <v>4569768.9</v>
      </c>
      <c r="Q21" s="27">
        <f aca="true" t="shared" si="11" ref="Q21:Q84">+P21-K21</f>
        <v>-500860.7999999998</v>
      </c>
      <c r="R21" s="19">
        <f aca="true" t="shared" si="12" ref="R21:R84">+N21-Q21</f>
        <v>-740369.2328916802</v>
      </c>
    </row>
    <row r="22" spans="1:18" ht="12.75">
      <c r="A22" s="3">
        <v>3</v>
      </c>
      <c r="B22" s="9">
        <f t="shared" si="5"/>
        <v>43160</v>
      </c>
      <c r="C22" s="191">
        <v>43194</v>
      </c>
      <c r="D22" s="191">
        <v>43209</v>
      </c>
      <c r="E22" s="35" t="s">
        <v>21</v>
      </c>
      <c r="F22" s="3">
        <v>9</v>
      </c>
      <c r="G22" s="194">
        <v>2269</v>
      </c>
      <c r="H22" s="126">
        <f t="shared" si="1"/>
        <v>1817.43</v>
      </c>
      <c r="I22" s="126">
        <f t="shared" si="2"/>
        <v>1393.46</v>
      </c>
      <c r="J22" s="28">
        <f t="shared" si="3"/>
        <v>3161760.74</v>
      </c>
      <c r="K22" s="29">
        <f t="shared" si="6"/>
        <v>4123748.67</v>
      </c>
      <c r="L22" s="30">
        <f t="shared" si="4"/>
        <v>-961987.9299999997</v>
      </c>
      <c r="M22" s="27">
        <f t="shared" si="7"/>
        <v>-47456.85302194313</v>
      </c>
      <c r="N22" s="19">
        <f t="shared" si="8"/>
        <v>-1009444.7830219428</v>
      </c>
      <c r="O22" s="27">
        <f t="shared" si="9"/>
        <v>1637.91</v>
      </c>
      <c r="P22" s="27">
        <f t="shared" si="10"/>
        <v>3716417.79</v>
      </c>
      <c r="Q22" s="27">
        <f t="shared" si="11"/>
        <v>-407330.8799999999</v>
      </c>
      <c r="R22" s="19">
        <f t="shared" si="12"/>
        <v>-602113.9030219429</v>
      </c>
    </row>
    <row r="23" spans="1:18" ht="12.75">
      <c r="A23" s="10">
        <v>4</v>
      </c>
      <c r="B23" s="9">
        <f t="shared" si="5"/>
        <v>43191</v>
      </c>
      <c r="C23" s="191">
        <v>43223</v>
      </c>
      <c r="D23" s="191">
        <v>43238</v>
      </c>
      <c r="E23" s="35" t="s">
        <v>21</v>
      </c>
      <c r="F23" s="3">
        <v>9</v>
      </c>
      <c r="G23" s="194">
        <v>2377</v>
      </c>
      <c r="H23" s="126">
        <f t="shared" si="1"/>
        <v>1817.43</v>
      </c>
      <c r="I23" s="126">
        <f t="shared" si="2"/>
        <v>1393.46</v>
      </c>
      <c r="J23" s="28">
        <f t="shared" si="3"/>
        <v>3312254.42</v>
      </c>
      <c r="K23" s="29">
        <f t="shared" si="6"/>
        <v>4320031.11</v>
      </c>
      <c r="L23" s="30">
        <f t="shared" si="4"/>
        <v>-1007776.6900000004</v>
      </c>
      <c r="M23" s="27">
        <f t="shared" si="7"/>
        <v>-49715.707198395256</v>
      </c>
      <c r="N23" s="19">
        <f t="shared" si="8"/>
        <v>-1057492.3971983956</v>
      </c>
      <c r="O23" s="27">
        <f t="shared" si="9"/>
        <v>1637.91</v>
      </c>
      <c r="P23" s="27">
        <f t="shared" si="10"/>
        <v>3893312.0700000003</v>
      </c>
      <c r="Q23" s="27">
        <f t="shared" si="11"/>
        <v>-426719.04000000004</v>
      </c>
      <c r="R23" s="19">
        <f t="shared" si="12"/>
        <v>-630773.3571983955</v>
      </c>
    </row>
    <row r="24" spans="1:18" ht="12" customHeight="1">
      <c r="A24" s="3">
        <v>5</v>
      </c>
      <c r="B24" s="9">
        <f t="shared" si="5"/>
        <v>43221</v>
      </c>
      <c r="C24" s="191">
        <v>43256</v>
      </c>
      <c r="D24" s="191">
        <v>43271</v>
      </c>
      <c r="E24" s="20" t="s">
        <v>21</v>
      </c>
      <c r="F24" s="3">
        <v>9</v>
      </c>
      <c r="G24" s="194">
        <v>3597</v>
      </c>
      <c r="H24" s="126">
        <f t="shared" si="1"/>
        <v>1817.43</v>
      </c>
      <c r="I24" s="126">
        <f t="shared" si="2"/>
        <v>1393.46</v>
      </c>
      <c r="J24" s="28">
        <f t="shared" si="3"/>
        <v>5012275.62</v>
      </c>
      <c r="K24" s="29">
        <f t="shared" si="6"/>
        <v>6537295.71</v>
      </c>
      <c r="L24" s="30">
        <f t="shared" si="4"/>
        <v>-1525020.0899999999</v>
      </c>
      <c r="M24" s="27">
        <f t="shared" si="7"/>
        <v>-75232.39326572475</v>
      </c>
      <c r="N24" s="19">
        <f t="shared" si="8"/>
        <v>-1600252.4832657245</v>
      </c>
      <c r="O24" s="27">
        <f t="shared" si="9"/>
        <v>1637.91</v>
      </c>
      <c r="P24" s="27">
        <f t="shared" si="10"/>
        <v>5891562.2700000005</v>
      </c>
      <c r="Q24" s="27">
        <f t="shared" si="11"/>
        <v>-645733.4399999995</v>
      </c>
      <c r="R24" s="19">
        <f t="shared" si="12"/>
        <v>-954519.043265725</v>
      </c>
    </row>
    <row r="25" spans="1:18" ht="12.75">
      <c r="A25" s="3">
        <v>6</v>
      </c>
      <c r="B25" s="9">
        <f t="shared" si="5"/>
        <v>43252</v>
      </c>
      <c r="C25" s="191">
        <v>43286</v>
      </c>
      <c r="D25" s="191">
        <v>43301</v>
      </c>
      <c r="E25" s="20" t="s">
        <v>21</v>
      </c>
      <c r="F25" s="3">
        <v>9</v>
      </c>
      <c r="G25" s="194">
        <v>3911</v>
      </c>
      <c r="H25" s="126">
        <f t="shared" si="1"/>
        <v>1817.43</v>
      </c>
      <c r="I25" s="126">
        <f t="shared" si="2"/>
        <v>1393.46</v>
      </c>
      <c r="J25" s="28">
        <f t="shared" si="3"/>
        <v>5449822.0600000005</v>
      </c>
      <c r="K25" s="29">
        <f t="shared" si="6"/>
        <v>7107968.73</v>
      </c>
      <c r="L25" s="39">
        <f t="shared" si="4"/>
        <v>-1658146.67</v>
      </c>
      <c r="M25" s="27">
        <f t="shared" si="7"/>
        <v>-81799.8026305948</v>
      </c>
      <c r="N25" s="19">
        <f t="shared" si="8"/>
        <v>-1739946.4726305946</v>
      </c>
      <c r="O25" s="27">
        <f t="shared" si="9"/>
        <v>1637.91</v>
      </c>
      <c r="P25" s="27">
        <f t="shared" si="10"/>
        <v>6405866.010000001</v>
      </c>
      <c r="Q25" s="27">
        <f t="shared" si="11"/>
        <v>-702102.7199999997</v>
      </c>
      <c r="R25" s="19">
        <f t="shared" si="12"/>
        <v>-1037843.7526305949</v>
      </c>
    </row>
    <row r="26" spans="1:18" ht="12.75">
      <c r="A26" s="10">
        <v>7</v>
      </c>
      <c r="B26" s="9">
        <f t="shared" si="5"/>
        <v>43282</v>
      </c>
      <c r="C26" s="191">
        <v>43315</v>
      </c>
      <c r="D26" s="191">
        <v>43330</v>
      </c>
      <c r="E26" s="20" t="s">
        <v>21</v>
      </c>
      <c r="F26" s="3">
        <v>9</v>
      </c>
      <c r="G26" s="194">
        <v>4095</v>
      </c>
      <c r="H26" s="126">
        <f t="shared" si="1"/>
        <v>1817.43</v>
      </c>
      <c r="I26" s="126">
        <f t="shared" si="2"/>
        <v>1393.46</v>
      </c>
      <c r="J26" s="28">
        <f t="shared" si="3"/>
        <v>5706218.7</v>
      </c>
      <c r="K26" s="37">
        <f t="shared" si="6"/>
        <v>7442375.850000001</v>
      </c>
      <c r="L26" s="39">
        <f t="shared" si="4"/>
        <v>-1736157.1500000004</v>
      </c>
      <c r="M26" s="27">
        <f t="shared" si="7"/>
        <v>-85648.22085714286</v>
      </c>
      <c r="N26" s="19">
        <f t="shared" si="8"/>
        <v>-1821805.3708571433</v>
      </c>
      <c r="O26" s="27">
        <f t="shared" si="9"/>
        <v>1637.91</v>
      </c>
      <c r="P26" s="27">
        <f t="shared" si="10"/>
        <v>6707241.45</v>
      </c>
      <c r="Q26" s="27">
        <f t="shared" si="11"/>
        <v>-735134.4000000004</v>
      </c>
      <c r="R26" s="19">
        <f t="shared" si="12"/>
        <v>-1086670.970857143</v>
      </c>
    </row>
    <row r="27" spans="1:18" ht="12.75">
      <c r="A27" s="3">
        <v>8</v>
      </c>
      <c r="B27" s="9">
        <f t="shared" si="5"/>
        <v>43313</v>
      </c>
      <c r="C27" s="191">
        <v>43348</v>
      </c>
      <c r="D27" s="191">
        <v>43363</v>
      </c>
      <c r="E27" s="20" t="s">
        <v>21</v>
      </c>
      <c r="F27" s="3">
        <v>9</v>
      </c>
      <c r="G27" s="194">
        <v>3816</v>
      </c>
      <c r="H27" s="126">
        <f t="shared" si="1"/>
        <v>1817.43</v>
      </c>
      <c r="I27" s="126">
        <f t="shared" si="2"/>
        <v>1393.46</v>
      </c>
      <c r="J27" s="28">
        <f t="shared" si="3"/>
        <v>5317443.36</v>
      </c>
      <c r="K27" s="37">
        <f t="shared" si="6"/>
        <v>6935312.88</v>
      </c>
      <c r="L27" s="39">
        <f t="shared" si="4"/>
        <v>-1617869.5199999996</v>
      </c>
      <c r="M27" s="27">
        <f t="shared" si="7"/>
        <v>-79812.84756797487</v>
      </c>
      <c r="N27" s="19">
        <f t="shared" si="8"/>
        <v>-1697682.3675679744</v>
      </c>
      <c r="O27" s="27">
        <f t="shared" si="9"/>
        <v>1637.91</v>
      </c>
      <c r="P27" s="27">
        <f t="shared" si="10"/>
        <v>6250264.5600000005</v>
      </c>
      <c r="Q27" s="27">
        <f t="shared" si="11"/>
        <v>-685048.3199999994</v>
      </c>
      <c r="R27" s="19">
        <f t="shared" si="12"/>
        <v>-1012634.047567975</v>
      </c>
    </row>
    <row r="28" spans="1:18" ht="12.75">
      <c r="A28" s="3">
        <v>9</v>
      </c>
      <c r="B28" s="9">
        <f t="shared" si="5"/>
        <v>43344</v>
      </c>
      <c r="C28" s="191">
        <v>43376</v>
      </c>
      <c r="D28" s="191">
        <v>43391</v>
      </c>
      <c r="E28" s="20" t="s">
        <v>21</v>
      </c>
      <c r="F28" s="3">
        <v>9</v>
      </c>
      <c r="G28" s="194">
        <v>3735</v>
      </c>
      <c r="H28" s="126">
        <f t="shared" si="1"/>
        <v>1817.43</v>
      </c>
      <c r="I28" s="126">
        <f t="shared" si="2"/>
        <v>1393.46</v>
      </c>
      <c r="J28" s="28">
        <f t="shared" si="3"/>
        <v>5204573.100000001</v>
      </c>
      <c r="K28" s="37">
        <f t="shared" si="6"/>
        <v>6788101.05</v>
      </c>
      <c r="L28" s="39">
        <f t="shared" si="4"/>
        <v>-1583527.9499999993</v>
      </c>
      <c r="M28" s="27">
        <f t="shared" si="7"/>
        <v>-78118.70693563578</v>
      </c>
      <c r="N28" s="19">
        <f t="shared" si="8"/>
        <v>-1661646.656935635</v>
      </c>
      <c r="O28" s="27">
        <f t="shared" si="9"/>
        <v>1637.91</v>
      </c>
      <c r="P28" s="27">
        <f t="shared" si="10"/>
        <v>6117593.850000001</v>
      </c>
      <c r="Q28" s="27">
        <f t="shared" si="11"/>
        <v>-670507.1999999993</v>
      </c>
      <c r="R28" s="19">
        <f t="shared" si="12"/>
        <v>-991139.4569356358</v>
      </c>
    </row>
    <row r="29" spans="1:18" ht="12.75">
      <c r="A29" s="10">
        <v>10</v>
      </c>
      <c r="B29" s="9">
        <f t="shared" si="5"/>
        <v>43374</v>
      </c>
      <c r="C29" s="191">
        <v>43409</v>
      </c>
      <c r="D29" s="191">
        <v>43424</v>
      </c>
      <c r="E29" s="20" t="s">
        <v>21</v>
      </c>
      <c r="F29" s="3">
        <v>9</v>
      </c>
      <c r="G29" s="194">
        <v>3357</v>
      </c>
      <c r="H29" s="126">
        <f t="shared" si="1"/>
        <v>1817.43</v>
      </c>
      <c r="I29" s="126">
        <f t="shared" si="2"/>
        <v>1393.46</v>
      </c>
      <c r="J29" s="28">
        <f t="shared" si="3"/>
        <v>4677845.22</v>
      </c>
      <c r="K29" s="37">
        <f t="shared" si="6"/>
        <v>6101112.51</v>
      </c>
      <c r="L29" s="39">
        <f t="shared" si="4"/>
        <v>-1423267.29</v>
      </c>
      <c r="M29" s="27">
        <f t="shared" si="7"/>
        <v>-70212.71731805336</v>
      </c>
      <c r="N29" s="19">
        <f t="shared" si="8"/>
        <v>-1493480.0073180534</v>
      </c>
      <c r="O29" s="27">
        <f t="shared" si="9"/>
        <v>1637.91</v>
      </c>
      <c r="P29" s="27">
        <f t="shared" si="10"/>
        <v>5498463.87</v>
      </c>
      <c r="Q29" s="27">
        <f t="shared" si="11"/>
        <v>-602648.6399999997</v>
      </c>
      <c r="R29" s="19">
        <f t="shared" si="12"/>
        <v>-890831.3673180537</v>
      </c>
    </row>
    <row r="30" spans="1:18" ht="12.75">
      <c r="A30" s="3">
        <v>11</v>
      </c>
      <c r="B30" s="9">
        <f t="shared" si="5"/>
        <v>43405</v>
      </c>
      <c r="C30" s="191">
        <v>43439</v>
      </c>
      <c r="D30" s="191">
        <v>43454</v>
      </c>
      <c r="E30" s="20" t="s">
        <v>21</v>
      </c>
      <c r="F30" s="3">
        <v>9</v>
      </c>
      <c r="G30" s="194">
        <v>2564</v>
      </c>
      <c r="H30" s="126">
        <f t="shared" si="1"/>
        <v>1817.43</v>
      </c>
      <c r="I30" s="126">
        <f t="shared" si="2"/>
        <v>1393.46</v>
      </c>
      <c r="J30" s="28">
        <f t="shared" si="3"/>
        <v>3572831.44</v>
      </c>
      <c r="K30" s="37">
        <f t="shared" si="6"/>
        <v>4659890.5200000005</v>
      </c>
      <c r="L30" s="39">
        <f t="shared" si="4"/>
        <v>-1087059.0800000005</v>
      </c>
      <c r="M30" s="27">
        <f t="shared" si="7"/>
        <v>-53626.8713742892</v>
      </c>
      <c r="N30" s="19">
        <f t="shared" si="8"/>
        <v>-1140685.9513742898</v>
      </c>
      <c r="O30" s="27">
        <f t="shared" si="9"/>
        <v>1637.91</v>
      </c>
      <c r="P30" s="27">
        <f t="shared" si="10"/>
        <v>4199601.24</v>
      </c>
      <c r="Q30" s="27">
        <f t="shared" si="11"/>
        <v>-460289.28000000026</v>
      </c>
      <c r="R30" s="19">
        <f t="shared" si="12"/>
        <v>-680396.6713742896</v>
      </c>
    </row>
    <row r="31" spans="1:18" ht="12.75">
      <c r="A31" s="3">
        <v>12</v>
      </c>
      <c r="B31" s="9">
        <f t="shared" si="5"/>
        <v>43435</v>
      </c>
      <c r="C31" s="192">
        <v>43468</v>
      </c>
      <c r="D31" s="193">
        <v>43483</v>
      </c>
      <c r="E31" s="20" t="s">
        <v>21</v>
      </c>
      <c r="F31" s="3">
        <v>9</v>
      </c>
      <c r="G31" s="195">
        <v>2578</v>
      </c>
      <c r="H31" s="126">
        <f t="shared" si="1"/>
        <v>1817.43</v>
      </c>
      <c r="I31" s="127">
        <f t="shared" si="2"/>
        <v>1393.46</v>
      </c>
      <c r="J31" s="46">
        <f t="shared" si="3"/>
        <v>3592339.88</v>
      </c>
      <c r="K31" s="47">
        <f t="shared" si="6"/>
        <v>4685334.54</v>
      </c>
      <c r="L31" s="48">
        <f t="shared" si="4"/>
        <v>-1092994.6600000001</v>
      </c>
      <c r="M31" s="27">
        <f t="shared" si="7"/>
        <v>-53919.685804570036</v>
      </c>
      <c r="N31" s="19">
        <f t="shared" si="8"/>
        <v>-1146914.3458045702</v>
      </c>
      <c r="O31" s="27">
        <f t="shared" si="9"/>
        <v>1637.91</v>
      </c>
      <c r="P31" s="27">
        <f t="shared" si="10"/>
        <v>4222531.98</v>
      </c>
      <c r="Q31" s="27">
        <f t="shared" si="11"/>
        <v>-462802.5599999996</v>
      </c>
      <c r="R31" s="19">
        <f t="shared" si="12"/>
        <v>-684111.7858045707</v>
      </c>
    </row>
    <row r="32" spans="1:18" ht="12.75">
      <c r="A32" s="10">
        <v>1</v>
      </c>
      <c r="B32" s="74">
        <f t="shared" si="5"/>
        <v>43101</v>
      </c>
      <c r="C32" s="124">
        <f aca="true" t="shared" si="13" ref="C32:D43">+C20</f>
        <v>43136</v>
      </c>
      <c r="D32" s="124">
        <f t="shared" si="13"/>
        <v>43151</v>
      </c>
      <c r="E32" s="75" t="s">
        <v>22</v>
      </c>
      <c r="F32" s="76">
        <v>9</v>
      </c>
      <c r="G32" s="194">
        <v>3410</v>
      </c>
      <c r="H32" s="126">
        <f t="shared" si="1"/>
        <v>1817.43</v>
      </c>
      <c r="I32" s="126">
        <f t="shared" si="2"/>
        <v>1393.46</v>
      </c>
      <c r="J32" s="28">
        <f t="shared" si="3"/>
        <v>4751698.600000001</v>
      </c>
      <c r="K32" s="29">
        <f t="shared" si="6"/>
        <v>6197436.3</v>
      </c>
      <c r="L32" s="30">
        <f t="shared" si="4"/>
        <v>-1445737.6999999993</v>
      </c>
      <c r="M32" s="27">
        <f t="shared" si="7"/>
        <v>-71321.22908983081</v>
      </c>
      <c r="N32" s="19">
        <f t="shared" si="8"/>
        <v>-1517058.92908983</v>
      </c>
      <c r="O32" s="27">
        <f t="shared" si="9"/>
        <v>1637.91</v>
      </c>
      <c r="P32" s="27">
        <f t="shared" si="10"/>
        <v>5585273.100000001</v>
      </c>
      <c r="Q32" s="27">
        <f t="shared" si="11"/>
        <v>-612163.1999999993</v>
      </c>
      <c r="R32" s="19">
        <f t="shared" si="12"/>
        <v>-904895.7290898308</v>
      </c>
    </row>
    <row r="33" spans="1:18" ht="12.75">
      <c r="A33" s="3">
        <v>2</v>
      </c>
      <c r="B33" s="9">
        <f t="shared" si="5"/>
        <v>43132</v>
      </c>
      <c r="C33" s="125">
        <f t="shared" si="13"/>
        <v>43164</v>
      </c>
      <c r="D33" s="125">
        <f t="shared" si="13"/>
        <v>43179</v>
      </c>
      <c r="E33" s="35" t="s">
        <v>22</v>
      </c>
      <c r="F33" s="3">
        <v>9</v>
      </c>
      <c r="G33" s="194">
        <v>2792</v>
      </c>
      <c r="H33" s="126">
        <f t="shared" si="1"/>
        <v>1817.43</v>
      </c>
      <c r="I33" s="126">
        <f t="shared" si="2"/>
        <v>1393.46</v>
      </c>
      <c r="J33" s="28">
        <f t="shared" si="3"/>
        <v>3890540.3200000003</v>
      </c>
      <c r="K33" s="29">
        <f t="shared" si="6"/>
        <v>5074264.5600000005</v>
      </c>
      <c r="L33" s="30">
        <f t="shared" si="4"/>
        <v>-1183724.2400000002</v>
      </c>
      <c r="M33" s="27">
        <f t="shared" si="7"/>
        <v>-58395.563524577</v>
      </c>
      <c r="N33" s="19">
        <f t="shared" si="8"/>
        <v>-1242119.8035245773</v>
      </c>
      <c r="O33" s="27">
        <f t="shared" si="9"/>
        <v>1637.91</v>
      </c>
      <c r="P33" s="27">
        <f t="shared" si="10"/>
        <v>4573044.720000001</v>
      </c>
      <c r="Q33" s="27">
        <f t="shared" si="11"/>
        <v>-501219.83999999985</v>
      </c>
      <c r="R33" s="19">
        <f t="shared" si="12"/>
        <v>-740899.9635245774</v>
      </c>
    </row>
    <row r="34" spans="1:18" ht="12.75">
      <c r="A34" s="3">
        <v>3</v>
      </c>
      <c r="B34" s="9">
        <f t="shared" si="5"/>
        <v>43160</v>
      </c>
      <c r="C34" s="125">
        <f t="shared" si="13"/>
        <v>43194</v>
      </c>
      <c r="D34" s="125">
        <f t="shared" si="13"/>
        <v>43209</v>
      </c>
      <c r="E34" s="35" t="s">
        <v>22</v>
      </c>
      <c r="F34" s="3">
        <v>9</v>
      </c>
      <c r="G34" s="194">
        <v>2328</v>
      </c>
      <c r="H34" s="126">
        <f t="shared" si="1"/>
        <v>1817.43</v>
      </c>
      <c r="I34" s="126">
        <f t="shared" si="2"/>
        <v>1393.46</v>
      </c>
      <c r="J34" s="28">
        <f t="shared" si="3"/>
        <v>3243974.88</v>
      </c>
      <c r="K34" s="29">
        <f aca="true" t="shared" si="14" ref="K34:K93">+$G34*H34</f>
        <v>4230977.04</v>
      </c>
      <c r="L34" s="30">
        <f t="shared" si="4"/>
        <v>-987002.1600000001</v>
      </c>
      <c r="M34" s="27">
        <f t="shared" si="7"/>
        <v>-48690.85669241235</v>
      </c>
      <c r="N34" s="19">
        <f t="shared" si="8"/>
        <v>-1035693.0166924126</v>
      </c>
      <c r="O34" s="27">
        <f t="shared" si="9"/>
        <v>1637.91</v>
      </c>
      <c r="P34" s="27">
        <f t="shared" si="10"/>
        <v>3813054.48</v>
      </c>
      <c r="Q34" s="27">
        <f t="shared" si="11"/>
        <v>-417922.56000000006</v>
      </c>
      <c r="R34" s="19">
        <f t="shared" si="12"/>
        <v>-617770.4566924125</v>
      </c>
    </row>
    <row r="35" spans="1:18" ht="12.75">
      <c r="A35" s="10">
        <v>4</v>
      </c>
      <c r="B35" s="9">
        <f t="shared" si="5"/>
        <v>43191</v>
      </c>
      <c r="C35" s="125">
        <f t="shared" si="13"/>
        <v>43223</v>
      </c>
      <c r="D35" s="125">
        <f t="shared" si="13"/>
        <v>43238</v>
      </c>
      <c r="E35" s="35" t="s">
        <v>22</v>
      </c>
      <c r="F35" s="3">
        <v>9</v>
      </c>
      <c r="G35" s="194">
        <v>2312</v>
      </c>
      <c r="H35" s="126">
        <f t="shared" si="1"/>
        <v>1817.43</v>
      </c>
      <c r="I35" s="126">
        <f t="shared" si="2"/>
        <v>1393.46</v>
      </c>
      <c r="J35" s="28">
        <f t="shared" si="3"/>
        <v>3221679.52</v>
      </c>
      <c r="K35" s="29">
        <f t="shared" si="14"/>
        <v>4201898.16</v>
      </c>
      <c r="L35" s="30">
        <f aca="true" t="shared" si="15" ref="L35:L57">+J35-K35</f>
        <v>-980218.6400000001</v>
      </c>
      <c r="M35" s="27">
        <f t="shared" si="7"/>
        <v>-48356.211629234254</v>
      </c>
      <c r="N35" s="19">
        <f t="shared" si="8"/>
        <v>-1028574.8516292344</v>
      </c>
      <c r="O35" s="27">
        <f t="shared" si="9"/>
        <v>1637.91</v>
      </c>
      <c r="P35" s="27">
        <f t="shared" si="10"/>
        <v>3786847.9200000004</v>
      </c>
      <c r="Q35" s="27">
        <f t="shared" si="11"/>
        <v>-415050.23999999976</v>
      </c>
      <c r="R35" s="19">
        <f t="shared" si="12"/>
        <v>-613524.6116292346</v>
      </c>
    </row>
    <row r="36" spans="1:18" ht="12.75">
      <c r="A36" s="3">
        <v>5</v>
      </c>
      <c r="B36" s="9">
        <f t="shared" si="5"/>
        <v>43221</v>
      </c>
      <c r="C36" s="125">
        <f t="shared" si="13"/>
        <v>43256</v>
      </c>
      <c r="D36" s="125">
        <f t="shared" si="13"/>
        <v>43271</v>
      </c>
      <c r="E36" s="20" t="s">
        <v>22</v>
      </c>
      <c r="F36" s="3">
        <v>9</v>
      </c>
      <c r="G36" s="194">
        <v>3370</v>
      </c>
      <c r="H36" s="126">
        <f t="shared" si="1"/>
        <v>1817.43</v>
      </c>
      <c r="I36" s="126">
        <f t="shared" si="2"/>
        <v>1393.46</v>
      </c>
      <c r="J36" s="28">
        <f t="shared" si="3"/>
        <v>4695960.2</v>
      </c>
      <c r="K36" s="29">
        <f t="shared" si="14"/>
        <v>6124739.100000001</v>
      </c>
      <c r="L36" s="30">
        <f t="shared" si="15"/>
        <v>-1428778.9000000004</v>
      </c>
      <c r="M36" s="27">
        <f t="shared" si="7"/>
        <v>-70484.61643188557</v>
      </c>
      <c r="N36" s="19">
        <f t="shared" si="8"/>
        <v>-1499263.516431886</v>
      </c>
      <c r="O36" s="27">
        <f t="shared" si="9"/>
        <v>1637.91</v>
      </c>
      <c r="P36" s="27">
        <f t="shared" si="10"/>
        <v>5519756.7</v>
      </c>
      <c r="Q36" s="27">
        <f t="shared" si="11"/>
        <v>-604982.4000000004</v>
      </c>
      <c r="R36" s="19">
        <f t="shared" si="12"/>
        <v>-894281.1164318856</v>
      </c>
    </row>
    <row r="37" spans="1:18" ht="12.75">
      <c r="A37" s="3">
        <v>6</v>
      </c>
      <c r="B37" s="9">
        <f t="shared" si="5"/>
        <v>43252</v>
      </c>
      <c r="C37" s="125">
        <f t="shared" si="13"/>
        <v>43286</v>
      </c>
      <c r="D37" s="125">
        <f t="shared" si="13"/>
        <v>43301</v>
      </c>
      <c r="E37" s="20" t="s">
        <v>22</v>
      </c>
      <c r="F37" s="3">
        <v>9</v>
      </c>
      <c r="G37" s="194">
        <v>3563</v>
      </c>
      <c r="H37" s="126">
        <f t="shared" si="1"/>
        <v>1817.43</v>
      </c>
      <c r="I37" s="126">
        <f t="shared" si="2"/>
        <v>1393.46</v>
      </c>
      <c r="J37" s="28">
        <f t="shared" si="3"/>
        <v>4964897.98</v>
      </c>
      <c r="K37" s="29">
        <f t="shared" si="14"/>
        <v>6475503.09</v>
      </c>
      <c r="L37" s="39">
        <f t="shared" si="15"/>
        <v>-1510605.1099999994</v>
      </c>
      <c r="M37" s="27">
        <f t="shared" si="7"/>
        <v>-74521.2725064713</v>
      </c>
      <c r="N37" s="19">
        <f t="shared" si="8"/>
        <v>-1585126.3825064707</v>
      </c>
      <c r="O37" s="27">
        <f t="shared" si="9"/>
        <v>1637.91</v>
      </c>
      <c r="P37" s="27">
        <f t="shared" si="10"/>
        <v>5835873.33</v>
      </c>
      <c r="Q37" s="27">
        <f t="shared" si="11"/>
        <v>-639629.7599999998</v>
      </c>
      <c r="R37" s="19">
        <f t="shared" si="12"/>
        <v>-945496.6225064709</v>
      </c>
    </row>
    <row r="38" spans="1:18" ht="12.75">
      <c r="A38" s="10">
        <v>7</v>
      </c>
      <c r="B38" s="9">
        <f t="shared" si="5"/>
        <v>43282</v>
      </c>
      <c r="C38" s="125">
        <f t="shared" si="13"/>
        <v>43315</v>
      </c>
      <c r="D38" s="125">
        <f t="shared" si="13"/>
        <v>43330</v>
      </c>
      <c r="E38" s="20" t="s">
        <v>22</v>
      </c>
      <c r="F38" s="3">
        <v>9</v>
      </c>
      <c r="G38" s="194">
        <v>3686</v>
      </c>
      <c r="H38" s="126">
        <f t="shared" si="1"/>
        <v>1817.43</v>
      </c>
      <c r="I38" s="126">
        <f t="shared" si="2"/>
        <v>1393.46</v>
      </c>
      <c r="J38" s="28">
        <f t="shared" si="3"/>
        <v>5136293.5600000005</v>
      </c>
      <c r="K38" s="37">
        <f t="shared" si="14"/>
        <v>6699046.98</v>
      </c>
      <c r="L38" s="39">
        <f t="shared" si="15"/>
        <v>-1562753.42</v>
      </c>
      <c r="M38" s="27">
        <f t="shared" si="7"/>
        <v>-77093.85642965288</v>
      </c>
      <c r="N38" s="19">
        <f t="shared" si="8"/>
        <v>-1639847.2764296527</v>
      </c>
      <c r="O38" s="27">
        <f t="shared" si="9"/>
        <v>1637.91</v>
      </c>
      <c r="P38" s="27">
        <f t="shared" si="10"/>
        <v>6037336.260000001</v>
      </c>
      <c r="Q38" s="27">
        <f t="shared" si="11"/>
        <v>-661710.7199999997</v>
      </c>
      <c r="R38" s="19">
        <f t="shared" si="12"/>
        <v>-978136.556429653</v>
      </c>
    </row>
    <row r="39" spans="1:18" ht="12.75">
      <c r="A39" s="3">
        <v>8</v>
      </c>
      <c r="B39" s="9">
        <f t="shared" si="5"/>
        <v>43313</v>
      </c>
      <c r="C39" s="125">
        <f t="shared" si="13"/>
        <v>43348</v>
      </c>
      <c r="D39" s="125">
        <f t="shared" si="13"/>
        <v>43363</v>
      </c>
      <c r="E39" s="20" t="s">
        <v>22</v>
      </c>
      <c r="F39" s="3">
        <v>9</v>
      </c>
      <c r="G39" s="194">
        <v>3463</v>
      </c>
      <c r="H39" s="126">
        <f t="shared" si="1"/>
        <v>1817.43</v>
      </c>
      <c r="I39" s="126">
        <f t="shared" si="2"/>
        <v>1393.46</v>
      </c>
      <c r="J39" s="28">
        <f t="shared" si="3"/>
        <v>4825551.98</v>
      </c>
      <c r="K39" s="37">
        <f t="shared" si="14"/>
        <v>6293760.09</v>
      </c>
      <c r="L39" s="39">
        <f t="shared" si="15"/>
        <v>-1468208.1099999994</v>
      </c>
      <c r="M39" s="27">
        <f t="shared" si="7"/>
        <v>-72429.74086160824</v>
      </c>
      <c r="N39" s="19">
        <f t="shared" si="8"/>
        <v>-1540637.8508616076</v>
      </c>
      <c r="O39" s="27">
        <f t="shared" si="9"/>
        <v>1637.91</v>
      </c>
      <c r="P39" s="27">
        <f t="shared" si="10"/>
        <v>5672082.33</v>
      </c>
      <c r="Q39" s="27">
        <f t="shared" si="11"/>
        <v>-621677.7599999998</v>
      </c>
      <c r="R39" s="19">
        <f t="shared" si="12"/>
        <v>-918960.0908616078</v>
      </c>
    </row>
    <row r="40" spans="1:18" ht="12.75">
      <c r="A40" s="3">
        <v>9</v>
      </c>
      <c r="B40" s="9">
        <f t="shared" si="5"/>
        <v>43344</v>
      </c>
      <c r="C40" s="125">
        <f t="shared" si="13"/>
        <v>43376</v>
      </c>
      <c r="D40" s="125">
        <f t="shared" si="13"/>
        <v>43391</v>
      </c>
      <c r="E40" s="20" t="s">
        <v>22</v>
      </c>
      <c r="F40" s="3">
        <v>9</v>
      </c>
      <c r="G40" s="194">
        <v>3456</v>
      </c>
      <c r="H40" s="126">
        <f t="shared" si="1"/>
        <v>1817.43</v>
      </c>
      <c r="I40" s="126">
        <f t="shared" si="2"/>
        <v>1393.46</v>
      </c>
      <c r="J40" s="28">
        <f t="shared" si="3"/>
        <v>4815797.76</v>
      </c>
      <c r="K40" s="37">
        <f t="shared" si="14"/>
        <v>6281038.08</v>
      </c>
      <c r="L40" s="39">
        <f t="shared" si="15"/>
        <v>-1465240.3200000003</v>
      </c>
      <c r="M40" s="27">
        <f t="shared" si="7"/>
        <v>-72283.33364646781</v>
      </c>
      <c r="N40" s="19">
        <f t="shared" si="8"/>
        <v>-1537523.6536464682</v>
      </c>
      <c r="O40" s="27">
        <f t="shared" si="9"/>
        <v>1637.91</v>
      </c>
      <c r="P40" s="27">
        <f t="shared" si="10"/>
        <v>5660616.96</v>
      </c>
      <c r="Q40" s="27">
        <f t="shared" si="11"/>
        <v>-620421.1200000001</v>
      </c>
      <c r="R40" s="19">
        <f t="shared" si="12"/>
        <v>-917102.5336464681</v>
      </c>
    </row>
    <row r="41" spans="1:18" ht="12.75">
      <c r="A41" s="10">
        <v>10</v>
      </c>
      <c r="B41" s="9">
        <f t="shared" si="5"/>
        <v>43374</v>
      </c>
      <c r="C41" s="125">
        <f t="shared" si="13"/>
        <v>43409</v>
      </c>
      <c r="D41" s="125">
        <f t="shared" si="13"/>
        <v>43424</v>
      </c>
      <c r="E41" s="20" t="s">
        <v>22</v>
      </c>
      <c r="F41" s="3">
        <v>9</v>
      </c>
      <c r="G41" s="194">
        <v>3155</v>
      </c>
      <c r="H41" s="126">
        <f t="shared" si="1"/>
        <v>1817.43</v>
      </c>
      <c r="I41" s="126">
        <f t="shared" si="2"/>
        <v>1393.46</v>
      </c>
      <c r="J41" s="28">
        <f t="shared" si="3"/>
        <v>4396366.3</v>
      </c>
      <c r="K41" s="37">
        <f t="shared" si="14"/>
        <v>5733991.65</v>
      </c>
      <c r="L41" s="39">
        <f t="shared" si="15"/>
        <v>-1337625.3500000006</v>
      </c>
      <c r="M41" s="27">
        <f t="shared" si="7"/>
        <v>-65987.82339542996</v>
      </c>
      <c r="N41" s="19">
        <f t="shared" si="8"/>
        <v>-1403613.1733954304</v>
      </c>
      <c r="O41" s="27">
        <f t="shared" si="9"/>
        <v>1637.91</v>
      </c>
      <c r="P41" s="27">
        <f t="shared" si="10"/>
        <v>5167606.05</v>
      </c>
      <c r="Q41" s="27">
        <f t="shared" si="11"/>
        <v>-566385.6000000006</v>
      </c>
      <c r="R41" s="19">
        <f t="shared" si="12"/>
        <v>-837227.5733954299</v>
      </c>
    </row>
    <row r="42" spans="1:18" ht="12.75">
      <c r="A42" s="3">
        <v>11</v>
      </c>
      <c r="B42" s="9">
        <f t="shared" si="5"/>
        <v>43405</v>
      </c>
      <c r="C42" s="125">
        <f t="shared" si="13"/>
        <v>43439</v>
      </c>
      <c r="D42" s="125">
        <f t="shared" si="13"/>
        <v>43454</v>
      </c>
      <c r="E42" s="20" t="s">
        <v>22</v>
      </c>
      <c r="F42" s="3">
        <v>9</v>
      </c>
      <c r="G42" s="194">
        <v>2908</v>
      </c>
      <c r="H42" s="126">
        <f t="shared" si="1"/>
        <v>1817.43</v>
      </c>
      <c r="I42" s="126">
        <f t="shared" si="2"/>
        <v>1393.46</v>
      </c>
      <c r="J42" s="28">
        <f t="shared" si="3"/>
        <v>4052181.68</v>
      </c>
      <c r="K42" s="37">
        <f t="shared" si="14"/>
        <v>5285086.44</v>
      </c>
      <c r="L42" s="39">
        <f t="shared" si="15"/>
        <v>-1232904.7600000002</v>
      </c>
      <c r="M42" s="27">
        <f t="shared" si="7"/>
        <v>-60821.74023261817</v>
      </c>
      <c r="N42" s="19">
        <f t="shared" si="8"/>
        <v>-1293726.5002326183</v>
      </c>
      <c r="O42" s="27">
        <f t="shared" si="9"/>
        <v>1637.91</v>
      </c>
      <c r="P42" s="27">
        <f t="shared" si="10"/>
        <v>4763042.28</v>
      </c>
      <c r="Q42" s="27">
        <f t="shared" si="11"/>
        <v>-522044.16000000015</v>
      </c>
      <c r="R42" s="19">
        <f t="shared" si="12"/>
        <v>-771682.3402326182</v>
      </c>
    </row>
    <row r="43" spans="1:18" ht="12.75">
      <c r="A43" s="3">
        <v>12</v>
      </c>
      <c r="B43" s="9">
        <f t="shared" si="5"/>
        <v>43435</v>
      </c>
      <c r="C43" s="125">
        <f t="shared" si="13"/>
        <v>43468</v>
      </c>
      <c r="D43" s="125">
        <f t="shared" si="13"/>
        <v>43483</v>
      </c>
      <c r="E43" s="20" t="s">
        <v>22</v>
      </c>
      <c r="F43" s="3">
        <v>9</v>
      </c>
      <c r="G43" s="195">
        <v>2872</v>
      </c>
      <c r="H43" s="126">
        <f t="shared" si="1"/>
        <v>1817.43</v>
      </c>
      <c r="I43" s="127">
        <f t="shared" si="2"/>
        <v>1393.46</v>
      </c>
      <c r="J43" s="46">
        <f t="shared" si="3"/>
        <v>4002017.12</v>
      </c>
      <c r="K43" s="47">
        <f t="shared" si="14"/>
        <v>5219658.96</v>
      </c>
      <c r="L43" s="48">
        <f t="shared" si="15"/>
        <v>-1217641.8399999999</v>
      </c>
      <c r="M43" s="27">
        <f t="shared" si="7"/>
        <v>-60068.78884046747</v>
      </c>
      <c r="N43" s="19">
        <f t="shared" si="8"/>
        <v>-1277710.6288404674</v>
      </c>
      <c r="O43" s="27">
        <f t="shared" si="9"/>
        <v>1637.91</v>
      </c>
      <c r="P43" s="27">
        <f t="shared" si="10"/>
        <v>4704077.5200000005</v>
      </c>
      <c r="Q43" s="27">
        <f t="shared" si="11"/>
        <v>-515581.4399999995</v>
      </c>
      <c r="R43" s="19">
        <f t="shared" si="12"/>
        <v>-762129.188840468</v>
      </c>
    </row>
    <row r="44" spans="1:18" ht="12.75">
      <c r="A44" s="10">
        <v>1</v>
      </c>
      <c r="B44" s="74">
        <f aca="true" t="shared" si="16" ref="B44:B55">DATE($R$1,A44,1)</f>
        <v>43101</v>
      </c>
      <c r="C44" s="124">
        <f aca="true" t="shared" si="17" ref="C44:D55">+C32</f>
        <v>43136</v>
      </c>
      <c r="D44" s="124">
        <f t="shared" si="17"/>
        <v>43151</v>
      </c>
      <c r="E44" s="75" t="s">
        <v>81</v>
      </c>
      <c r="F44" s="76">
        <v>9</v>
      </c>
      <c r="G44" s="194">
        <v>204</v>
      </c>
      <c r="H44" s="126">
        <f t="shared" si="1"/>
        <v>1817.43</v>
      </c>
      <c r="I44" s="126">
        <f t="shared" si="2"/>
        <v>1393.46</v>
      </c>
      <c r="J44" s="27">
        <f aca="true" t="shared" si="18" ref="J44:J55">+$G44*I44</f>
        <v>284265.84</v>
      </c>
      <c r="K44" s="37">
        <f aca="true" t="shared" si="19" ref="K44:K55">+$G44*H44</f>
        <v>370755.72000000003</v>
      </c>
      <c r="L44" s="39">
        <f aca="true" t="shared" si="20" ref="L44:L55">+J44-K44</f>
        <v>-86489.88</v>
      </c>
      <c r="M44" s="27">
        <f t="shared" si="7"/>
        <v>-4266.72455552067</v>
      </c>
      <c r="N44" s="19">
        <f t="shared" si="8"/>
        <v>-90756.60455552068</v>
      </c>
      <c r="O44" s="27">
        <f t="shared" si="9"/>
        <v>1637.91</v>
      </c>
      <c r="P44" s="27">
        <f t="shared" si="10"/>
        <v>334133.64</v>
      </c>
      <c r="Q44" s="27">
        <f t="shared" si="11"/>
        <v>-36622.080000000016</v>
      </c>
      <c r="R44" s="19">
        <f t="shared" si="12"/>
        <v>-54134.524555520664</v>
      </c>
    </row>
    <row r="45" spans="1:18" ht="12.75">
      <c r="A45" s="3">
        <v>2</v>
      </c>
      <c r="B45" s="9">
        <f t="shared" si="16"/>
        <v>43132</v>
      </c>
      <c r="C45" s="125">
        <f t="shared" si="17"/>
        <v>43164</v>
      </c>
      <c r="D45" s="125">
        <f t="shared" si="17"/>
        <v>43179</v>
      </c>
      <c r="E45" s="35" t="s">
        <v>81</v>
      </c>
      <c r="F45" s="3">
        <v>9</v>
      </c>
      <c r="G45" s="194">
        <v>131</v>
      </c>
      <c r="H45" s="126">
        <f t="shared" si="1"/>
        <v>1817.43</v>
      </c>
      <c r="I45" s="126">
        <f t="shared" si="2"/>
        <v>1393.46</v>
      </c>
      <c r="J45" s="27">
        <f t="shared" si="18"/>
        <v>182543.26</v>
      </c>
      <c r="K45" s="37">
        <f t="shared" si="19"/>
        <v>238083.33000000002</v>
      </c>
      <c r="L45" s="39">
        <f t="shared" si="20"/>
        <v>-55540.07000000001</v>
      </c>
      <c r="M45" s="27">
        <f t="shared" si="7"/>
        <v>-2739.9064547706257</v>
      </c>
      <c r="N45" s="19">
        <f t="shared" si="8"/>
        <v>-58279.97645477063</v>
      </c>
      <c r="O45" s="27">
        <f t="shared" si="9"/>
        <v>1637.91</v>
      </c>
      <c r="P45" s="27">
        <f t="shared" si="10"/>
        <v>214566.21000000002</v>
      </c>
      <c r="Q45" s="27">
        <f t="shared" si="11"/>
        <v>-23517.119999999995</v>
      </c>
      <c r="R45" s="19">
        <f t="shared" si="12"/>
        <v>-34762.856454770634</v>
      </c>
    </row>
    <row r="46" spans="1:18" ht="12.75">
      <c r="A46" s="3">
        <v>3</v>
      </c>
      <c r="B46" s="9">
        <f t="shared" si="16"/>
        <v>43160</v>
      </c>
      <c r="C46" s="125">
        <f t="shared" si="17"/>
        <v>43194</v>
      </c>
      <c r="D46" s="125">
        <f t="shared" si="17"/>
        <v>43209</v>
      </c>
      <c r="E46" s="35" t="s">
        <v>81</v>
      </c>
      <c r="F46" s="3">
        <v>9</v>
      </c>
      <c r="G46" s="194">
        <v>109</v>
      </c>
      <c r="H46" s="126">
        <f t="shared" si="1"/>
        <v>1817.43</v>
      </c>
      <c r="I46" s="126">
        <f t="shared" si="2"/>
        <v>1393.46</v>
      </c>
      <c r="J46" s="27">
        <f t="shared" si="18"/>
        <v>151887.14</v>
      </c>
      <c r="K46" s="37">
        <f t="shared" si="19"/>
        <v>198099.87</v>
      </c>
      <c r="L46" s="39">
        <f t="shared" si="20"/>
        <v>-46212.72999999998</v>
      </c>
      <c r="M46" s="27">
        <f t="shared" si="7"/>
        <v>-2279.76949290075</v>
      </c>
      <c r="N46" s="19">
        <f t="shared" si="8"/>
        <v>-48492.49949290073</v>
      </c>
      <c r="O46" s="27">
        <f t="shared" si="9"/>
        <v>1637.91</v>
      </c>
      <c r="P46" s="27">
        <f t="shared" si="10"/>
        <v>178532.19</v>
      </c>
      <c r="Q46" s="27">
        <f t="shared" si="11"/>
        <v>-19567.679999999993</v>
      </c>
      <c r="R46" s="19">
        <f t="shared" si="12"/>
        <v>-28924.819492900737</v>
      </c>
    </row>
    <row r="47" spans="1:18" ht="12.75">
      <c r="A47" s="10">
        <v>4</v>
      </c>
      <c r="B47" s="9">
        <f t="shared" si="16"/>
        <v>43191</v>
      </c>
      <c r="C47" s="125">
        <f t="shared" si="17"/>
        <v>43223</v>
      </c>
      <c r="D47" s="125">
        <f t="shared" si="17"/>
        <v>43238</v>
      </c>
      <c r="E47" s="35" t="s">
        <v>81</v>
      </c>
      <c r="F47" s="3">
        <v>9</v>
      </c>
      <c r="G47" s="194">
        <v>84</v>
      </c>
      <c r="H47" s="126">
        <f t="shared" si="1"/>
        <v>1817.43</v>
      </c>
      <c r="I47" s="126">
        <f t="shared" si="2"/>
        <v>1393.46</v>
      </c>
      <c r="J47" s="27">
        <f t="shared" si="18"/>
        <v>117050.64</v>
      </c>
      <c r="K47" s="37">
        <f t="shared" si="19"/>
        <v>152664.12</v>
      </c>
      <c r="L47" s="39">
        <f t="shared" si="20"/>
        <v>-35613.479999999996</v>
      </c>
      <c r="M47" s="27">
        <f t="shared" si="7"/>
        <v>-1756.8865816849816</v>
      </c>
      <c r="N47" s="19">
        <f t="shared" si="8"/>
        <v>-37370.366581684975</v>
      </c>
      <c r="O47" s="27">
        <f t="shared" si="9"/>
        <v>1637.91</v>
      </c>
      <c r="P47" s="27">
        <f t="shared" si="10"/>
        <v>137584.44</v>
      </c>
      <c r="Q47" s="27">
        <f t="shared" si="11"/>
        <v>-15079.679999999993</v>
      </c>
      <c r="R47" s="19">
        <f t="shared" si="12"/>
        <v>-22290.686581684982</v>
      </c>
    </row>
    <row r="48" spans="1:18" ht="12.75">
      <c r="A48" s="3">
        <v>5</v>
      </c>
      <c r="B48" s="9">
        <f t="shared" si="16"/>
        <v>43221</v>
      </c>
      <c r="C48" s="125">
        <f t="shared" si="17"/>
        <v>43256</v>
      </c>
      <c r="D48" s="125">
        <f t="shared" si="17"/>
        <v>43271</v>
      </c>
      <c r="E48" s="35" t="s">
        <v>81</v>
      </c>
      <c r="F48" s="3">
        <v>9</v>
      </c>
      <c r="G48" s="194">
        <v>134</v>
      </c>
      <c r="H48" s="126">
        <f t="shared" si="1"/>
        <v>1817.43</v>
      </c>
      <c r="I48" s="126">
        <f t="shared" si="2"/>
        <v>1393.46</v>
      </c>
      <c r="J48" s="27">
        <f t="shared" si="18"/>
        <v>186723.64</v>
      </c>
      <c r="K48" s="37">
        <f t="shared" si="19"/>
        <v>243535.62</v>
      </c>
      <c r="L48" s="39">
        <f t="shared" si="20"/>
        <v>-56811.97999999998</v>
      </c>
      <c r="M48" s="27">
        <f t="shared" si="7"/>
        <v>-2802.6524041165185</v>
      </c>
      <c r="N48" s="19">
        <f t="shared" si="8"/>
        <v>-59614.6324041165</v>
      </c>
      <c r="O48" s="27">
        <f t="shared" si="9"/>
        <v>1637.91</v>
      </c>
      <c r="P48" s="27">
        <f t="shared" si="10"/>
        <v>219479.94</v>
      </c>
      <c r="Q48" s="27">
        <f t="shared" si="11"/>
        <v>-24055.679999999993</v>
      </c>
      <c r="R48" s="19">
        <f t="shared" si="12"/>
        <v>-35558.952404116506</v>
      </c>
    </row>
    <row r="49" spans="1:18" ht="12.75">
      <c r="A49" s="3">
        <v>6</v>
      </c>
      <c r="B49" s="9">
        <f t="shared" si="16"/>
        <v>43252</v>
      </c>
      <c r="C49" s="125">
        <f t="shared" si="17"/>
        <v>43286</v>
      </c>
      <c r="D49" s="125">
        <f t="shared" si="17"/>
        <v>43301</v>
      </c>
      <c r="E49" s="35" t="s">
        <v>81</v>
      </c>
      <c r="F49" s="3">
        <v>9</v>
      </c>
      <c r="G49" s="194">
        <v>132</v>
      </c>
      <c r="H49" s="126">
        <f t="shared" si="1"/>
        <v>1817.43</v>
      </c>
      <c r="I49" s="126">
        <f t="shared" si="2"/>
        <v>1393.46</v>
      </c>
      <c r="J49" s="27">
        <f t="shared" si="18"/>
        <v>183936.72</v>
      </c>
      <c r="K49" s="37">
        <f t="shared" si="19"/>
        <v>239900.76</v>
      </c>
      <c r="L49" s="39">
        <f t="shared" si="20"/>
        <v>-55964.04000000001</v>
      </c>
      <c r="M49" s="27">
        <f t="shared" si="7"/>
        <v>-2760.821771219257</v>
      </c>
      <c r="N49" s="19">
        <f t="shared" si="8"/>
        <v>-58724.861771219264</v>
      </c>
      <c r="O49" s="27">
        <f t="shared" si="9"/>
        <v>1637.91</v>
      </c>
      <c r="P49" s="27">
        <f t="shared" si="10"/>
        <v>216204.12000000002</v>
      </c>
      <c r="Q49" s="27">
        <f t="shared" si="11"/>
        <v>-23696.639999999985</v>
      </c>
      <c r="R49" s="19">
        <f t="shared" si="12"/>
        <v>-35028.22177121928</v>
      </c>
    </row>
    <row r="50" spans="1:18" ht="12.75">
      <c r="A50" s="10">
        <v>7</v>
      </c>
      <c r="B50" s="9">
        <f t="shared" si="16"/>
        <v>43282</v>
      </c>
      <c r="C50" s="125">
        <f t="shared" si="17"/>
        <v>43315</v>
      </c>
      <c r="D50" s="125">
        <f t="shared" si="17"/>
        <v>43330</v>
      </c>
      <c r="E50" s="35" t="s">
        <v>81</v>
      </c>
      <c r="F50" s="3">
        <v>9</v>
      </c>
      <c r="G50" s="194">
        <v>143</v>
      </c>
      <c r="H50" s="126">
        <f t="shared" si="1"/>
        <v>1817.43</v>
      </c>
      <c r="I50" s="126">
        <f t="shared" si="2"/>
        <v>1393.46</v>
      </c>
      <c r="J50" s="27">
        <f t="shared" si="18"/>
        <v>199264.78</v>
      </c>
      <c r="K50" s="37">
        <f t="shared" si="19"/>
        <v>259892.49000000002</v>
      </c>
      <c r="L50" s="39">
        <f t="shared" si="20"/>
        <v>-60627.71000000002</v>
      </c>
      <c r="M50" s="27">
        <f t="shared" si="7"/>
        <v>-2990.8902521541945</v>
      </c>
      <c r="N50" s="19">
        <f t="shared" si="8"/>
        <v>-63618.60025215422</v>
      </c>
      <c r="O50" s="27">
        <f t="shared" si="9"/>
        <v>1637.91</v>
      </c>
      <c r="P50" s="27">
        <f t="shared" si="10"/>
        <v>234221.13</v>
      </c>
      <c r="Q50" s="27">
        <f t="shared" si="11"/>
        <v>-25671.360000000015</v>
      </c>
      <c r="R50" s="19">
        <f t="shared" si="12"/>
        <v>-37947.2402521542</v>
      </c>
    </row>
    <row r="51" spans="1:18" ht="12.75">
      <c r="A51" s="3">
        <v>8</v>
      </c>
      <c r="B51" s="9">
        <f t="shared" si="16"/>
        <v>43313</v>
      </c>
      <c r="C51" s="125">
        <f t="shared" si="17"/>
        <v>43348</v>
      </c>
      <c r="D51" s="125">
        <f t="shared" si="17"/>
        <v>43363</v>
      </c>
      <c r="E51" s="35" t="s">
        <v>81</v>
      </c>
      <c r="F51" s="3">
        <v>9</v>
      </c>
      <c r="G51" s="194">
        <v>120</v>
      </c>
      <c r="H51" s="126">
        <f t="shared" si="1"/>
        <v>1817.43</v>
      </c>
      <c r="I51" s="126">
        <f t="shared" si="2"/>
        <v>1393.46</v>
      </c>
      <c r="J51" s="27">
        <f t="shared" si="18"/>
        <v>167215.2</v>
      </c>
      <c r="K51" s="37">
        <f t="shared" si="19"/>
        <v>218091.6</v>
      </c>
      <c r="L51" s="39">
        <f t="shared" si="20"/>
        <v>-50876.399999999994</v>
      </c>
      <c r="M51" s="27">
        <f t="shared" si="7"/>
        <v>-2509.837973835688</v>
      </c>
      <c r="N51" s="19">
        <f t="shared" si="8"/>
        <v>-53386.23797383568</v>
      </c>
      <c r="O51" s="27">
        <f t="shared" si="9"/>
        <v>1637.91</v>
      </c>
      <c r="P51" s="27">
        <f t="shared" si="10"/>
        <v>196549.2</v>
      </c>
      <c r="Q51" s="27">
        <f t="shared" si="11"/>
        <v>-21542.399999999994</v>
      </c>
      <c r="R51" s="19">
        <f t="shared" si="12"/>
        <v>-31843.83797383569</v>
      </c>
    </row>
    <row r="52" spans="1:18" ht="12.75">
      <c r="A52" s="3">
        <v>9</v>
      </c>
      <c r="B52" s="9">
        <f t="shared" si="16"/>
        <v>43344</v>
      </c>
      <c r="C52" s="125">
        <f t="shared" si="17"/>
        <v>43376</v>
      </c>
      <c r="D52" s="125">
        <f t="shared" si="17"/>
        <v>43391</v>
      </c>
      <c r="E52" s="35" t="s">
        <v>81</v>
      </c>
      <c r="F52" s="3">
        <v>9</v>
      </c>
      <c r="G52" s="194">
        <v>127</v>
      </c>
      <c r="H52" s="126">
        <f t="shared" si="1"/>
        <v>1817.43</v>
      </c>
      <c r="I52" s="126">
        <f t="shared" si="2"/>
        <v>1393.46</v>
      </c>
      <c r="J52" s="27">
        <f t="shared" si="18"/>
        <v>176969.42</v>
      </c>
      <c r="K52" s="37">
        <f t="shared" si="19"/>
        <v>230813.61000000002</v>
      </c>
      <c r="L52" s="39">
        <f t="shared" si="20"/>
        <v>-53844.19</v>
      </c>
      <c r="M52" s="27">
        <f t="shared" si="7"/>
        <v>-2656.245188976103</v>
      </c>
      <c r="N52" s="19">
        <f t="shared" si="8"/>
        <v>-56500.4351889761</v>
      </c>
      <c r="O52" s="27">
        <f t="shared" si="9"/>
        <v>1637.91</v>
      </c>
      <c r="P52" s="27">
        <f t="shared" si="10"/>
        <v>208014.57</v>
      </c>
      <c r="Q52" s="27">
        <f t="shared" si="11"/>
        <v>-22799.040000000008</v>
      </c>
      <c r="R52" s="19">
        <f t="shared" si="12"/>
        <v>-33701.395188976094</v>
      </c>
    </row>
    <row r="53" spans="1:18" ht="12.75">
      <c r="A53" s="10">
        <v>10</v>
      </c>
      <c r="B53" s="9">
        <f t="shared" si="16"/>
        <v>43374</v>
      </c>
      <c r="C53" s="125">
        <f t="shared" si="17"/>
        <v>43409</v>
      </c>
      <c r="D53" s="125">
        <f t="shared" si="17"/>
        <v>43424</v>
      </c>
      <c r="E53" s="35" t="s">
        <v>81</v>
      </c>
      <c r="F53" s="3">
        <v>9</v>
      </c>
      <c r="G53" s="194">
        <v>118</v>
      </c>
      <c r="H53" s="126">
        <f t="shared" si="1"/>
        <v>1817.43</v>
      </c>
      <c r="I53" s="126">
        <f t="shared" si="2"/>
        <v>1393.46</v>
      </c>
      <c r="J53" s="27">
        <f t="shared" si="18"/>
        <v>164428.28</v>
      </c>
      <c r="K53" s="37">
        <f t="shared" si="19"/>
        <v>214456.74000000002</v>
      </c>
      <c r="L53" s="39">
        <f t="shared" si="20"/>
        <v>-50028.46000000002</v>
      </c>
      <c r="M53" s="27">
        <f t="shared" si="7"/>
        <v>-2468.0073409384268</v>
      </c>
      <c r="N53" s="19">
        <f t="shared" si="8"/>
        <v>-52496.46734093845</v>
      </c>
      <c r="O53" s="27">
        <f t="shared" si="9"/>
        <v>1637.91</v>
      </c>
      <c r="P53" s="27">
        <f t="shared" si="10"/>
        <v>193273.38</v>
      </c>
      <c r="Q53" s="27">
        <f t="shared" si="11"/>
        <v>-21183.360000000015</v>
      </c>
      <c r="R53" s="19">
        <f t="shared" si="12"/>
        <v>-31313.107340938433</v>
      </c>
    </row>
    <row r="54" spans="1:18" ht="12.75">
      <c r="A54" s="3">
        <v>11</v>
      </c>
      <c r="B54" s="9">
        <f t="shared" si="16"/>
        <v>43405</v>
      </c>
      <c r="C54" s="125">
        <f t="shared" si="17"/>
        <v>43439</v>
      </c>
      <c r="D54" s="125">
        <f t="shared" si="17"/>
        <v>43454</v>
      </c>
      <c r="E54" s="35" t="s">
        <v>81</v>
      </c>
      <c r="F54" s="3">
        <v>9</v>
      </c>
      <c r="G54" s="194">
        <v>142</v>
      </c>
      <c r="H54" s="126">
        <f t="shared" si="1"/>
        <v>1817.43</v>
      </c>
      <c r="I54" s="126">
        <f t="shared" si="2"/>
        <v>1393.46</v>
      </c>
      <c r="J54" s="27">
        <f t="shared" si="18"/>
        <v>197871.32</v>
      </c>
      <c r="K54" s="37">
        <f t="shared" si="19"/>
        <v>258075.06</v>
      </c>
      <c r="L54" s="39">
        <f t="shared" si="20"/>
        <v>-60203.73999999999</v>
      </c>
      <c r="M54" s="27">
        <f t="shared" si="7"/>
        <v>-2969.974935705564</v>
      </c>
      <c r="N54" s="19">
        <f t="shared" si="8"/>
        <v>-63173.71493570555</v>
      </c>
      <c r="O54" s="27">
        <f t="shared" si="9"/>
        <v>1637.91</v>
      </c>
      <c r="P54" s="27">
        <f t="shared" si="10"/>
        <v>232583.22</v>
      </c>
      <c r="Q54" s="27">
        <f t="shared" si="11"/>
        <v>-25491.839999999997</v>
      </c>
      <c r="R54" s="19">
        <f t="shared" si="12"/>
        <v>-37681.87493570556</v>
      </c>
    </row>
    <row r="55" spans="1:18" ht="12.75">
      <c r="A55" s="3">
        <v>12</v>
      </c>
      <c r="B55" s="9">
        <f t="shared" si="16"/>
        <v>43435</v>
      </c>
      <c r="C55" s="125">
        <f t="shared" si="17"/>
        <v>43468</v>
      </c>
      <c r="D55" s="125">
        <f t="shared" si="17"/>
        <v>43483</v>
      </c>
      <c r="E55" s="35" t="s">
        <v>81</v>
      </c>
      <c r="F55" s="3">
        <v>9</v>
      </c>
      <c r="G55" s="195">
        <v>129</v>
      </c>
      <c r="H55" s="126">
        <f t="shared" si="1"/>
        <v>1817.43</v>
      </c>
      <c r="I55" s="127">
        <f t="shared" si="2"/>
        <v>1393.46</v>
      </c>
      <c r="J55" s="46">
        <f t="shared" si="18"/>
        <v>179756.34</v>
      </c>
      <c r="K55" s="47">
        <f t="shared" si="19"/>
        <v>234448.47</v>
      </c>
      <c r="L55" s="48">
        <f t="shared" si="20"/>
        <v>-54692.130000000005</v>
      </c>
      <c r="M55" s="27">
        <f t="shared" si="7"/>
        <v>-2698.0758218733645</v>
      </c>
      <c r="N55" s="19">
        <f t="shared" si="8"/>
        <v>-57390.20582187337</v>
      </c>
      <c r="O55" s="27">
        <f t="shared" si="9"/>
        <v>1637.91</v>
      </c>
      <c r="P55" s="27">
        <f t="shared" si="10"/>
        <v>211290.39</v>
      </c>
      <c r="Q55" s="27">
        <f t="shared" si="11"/>
        <v>-23158.079999999987</v>
      </c>
      <c r="R55" s="19">
        <f t="shared" si="12"/>
        <v>-34232.125821873386</v>
      </c>
    </row>
    <row r="56" spans="1:18" s="77" customFormat="1" ht="12.75">
      <c r="A56" s="10">
        <v>1</v>
      </c>
      <c r="B56" s="74">
        <f t="shared" si="5"/>
        <v>43101</v>
      </c>
      <c r="C56" s="124">
        <f aca="true" t="shared" si="21" ref="C56:D67">+C32</f>
        <v>43136</v>
      </c>
      <c r="D56" s="124">
        <f t="shared" si="21"/>
        <v>43151</v>
      </c>
      <c r="E56" s="75" t="s">
        <v>14</v>
      </c>
      <c r="F56" s="76">
        <v>9</v>
      </c>
      <c r="G56" s="194">
        <v>951</v>
      </c>
      <c r="H56" s="126">
        <f t="shared" si="1"/>
        <v>1817.43</v>
      </c>
      <c r="I56" s="126">
        <f t="shared" si="2"/>
        <v>1393.46</v>
      </c>
      <c r="J56" s="28">
        <f t="shared" si="3"/>
        <v>1325180.46</v>
      </c>
      <c r="K56" s="29">
        <f t="shared" si="14"/>
        <v>1728375.9300000002</v>
      </c>
      <c r="L56" s="30">
        <f t="shared" si="15"/>
        <v>-403195.4700000002</v>
      </c>
      <c r="M56" s="27">
        <f t="shared" si="7"/>
        <v>-19890.465942647825</v>
      </c>
      <c r="N56" s="19">
        <f t="shared" si="8"/>
        <v>-423085.93594264804</v>
      </c>
      <c r="O56" s="27">
        <f t="shared" si="9"/>
        <v>1637.91</v>
      </c>
      <c r="P56" s="27">
        <f t="shared" si="10"/>
        <v>1557652.4100000001</v>
      </c>
      <c r="Q56" s="27">
        <f t="shared" si="11"/>
        <v>-170723.52000000002</v>
      </c>
      <c r="R56" s="19">
        <f t="shared" si="12"/>
        <v>-252362.41594264802</v>
      </c>
    </row>
    <row r="57" spans="1:18" ht="12.75">
      <c r="A57" s="3">
        <v>2</v>
      </c>
      <c r="B57" s="9">
        <f t="shared" si="5"/>
        <v>43132</v>
      </c>
      <c r="C57" s="125">
        <f t="shared" si="21"/>
        <v>43164</v>
      </c>
      <c r="D57" s="125">
        <f t="shared" si="21"/>
        <v>43179</v>
      </c>
      <c r="E57" s="35" t="s">
        <v>14</v>
      </c>
      <c r="F57" s="3">
        <v>9</v>
      </c>
      <c r="G57" s="194">
        <v>724</v>
      </c>
      <c r="H57" s="126">
        <f t="shared" si="1"/>
        <v>1817.43</v>
      </c>
      <c r="I57" s="126">
        <f t="shared" si="2"/>
        <v>1393.46</v>
      </c>
      <c r="J57" s="28">
        <f t="shared" si="3"/>
        <v>1008865.04</v>
      </c>
      <c r="K57" s="29">
        <f t="shared" si="14"/>
        <v>1315819.32</v>
      </c>
      <c r="L57" s="30">
        <f t="shared" si="15"/>
        <v>-306954.28</v>
      </c>
      <c r="M57" s="27">
        <f t="shared" si="7"/>
        <v>-15142.68910880865</v>
      </c>
      <c r="N57" s="19">
        <f t="shared" si="8"/>
        <v>-322096.96910880867</v>
      </c>
      <c r="O57" s="27">
        <f t="shared" si="9"/>
        <v>1637.91</v>
      </c>
      <c r="P57" s="27">
        <f t="shared" si="10"/>
        <v>1185846.84</v>
      </c>
      <c r="Q57" s="27">
        <f t="shared" si="11"/>
        <v>-129972.47999999998</v>
      </c>
      <c r="R57" s="19">
        <f t="shared" si="12"/>
        <v>-192124.4891088087</v>
      </c>
    </row>
    <row r="58" spans="1:18" ht="12.75">
      <c r="A58" s="3">
        <v>3</v>
      </c>
      <c r="B58" s="9">
        <f t="shared" si="5"/>
        <v>43160</v>
      </c>
      <c r="C58" s="125">
        <f t="shared" si="21"/>
        <v>43194</v>
      </c>
      <c r="D58" s="125">
        <f t="shared" si="21"/>
        <v>43209</v>
      </c>
      <c r="E58" s="35" t="s">
        <v>14</v>
      </c>
      <c r="F58" s="3">
        <v>9</v>
      </c>
      <c r="G58" s="194">
        <v>603</v>
      </c>
      <c r="H58" s="126">
        <f t="shared" si="1"/>
        <v>1817.43</v>
      </c>
      <c r="I58" s="126">
        <f t="shared" si="2"/>
        <v>1393.46</v>
      </c>
      <c r="J58" s="28">
        <f t="shared" si="3"/>
        <v>840256.38</v>
      </c>
      <c r="K58" s="29">
        <f t="shared" si="14"/>
        <v>1095910.29</v>
      </c>
      <c r="L58" s="30">
        <f>+J58-K58</f>
        <v>-255653.91000000003</v>
      </c>
      <c r="M58" s="27">
        <f t="shared" si="7"/>
        <v>-12611.93581852433</v>
      </c>
      <c r="N58" s="19">
        <f t="shared" si="8"/>
        <v>-268265.84581852437</v>
      </c>
      <c r="O58" s="27">
        <f t="shared" si="9"/>
        <v>1637.91</v>
      </c>
      <c r="P58" s="27">
        <f t="shared" si="10"/>
        <v>987659.7300000001</v>
      </c>
      <c r="Q58" s="27">
        <f t="shared" si="11"/>
        <v>-108250.55999999994</v>
      </c>
      <c r="R58" s="19">
        <f t="shared" si="12"/>
        <v>-160015.28581852443</v>
      </c>
    </row>
    <row r="59" spans="1:18" ht="12.75">
      <c r="A59" s="10">
        <v>4</v>
      </c>
      <c r="B59" s="9">
        <f t="shared" si="5"/>
        <v>43191</v>
      </c>
      <c r="C59" s="125">
        <f t="shared" si="21"/>
        <v>43223</v>
      </c>
      <c r="D59" s="125">
        <f t="shared" si="21"/>
        <v>43238</v>
      </c>
      <c r="E59" s="35" t="s">
        <v>14</v>
      </c>
      <c r="F59" s="3">
        <v>9</v>
      </c>
      <c r="G59" s="194">
        <v>445</v>
      </c>
      <c r="H59" s="126">
        <f t="shared" si="1"/>
        <v>1817.43</v>
      </c>
      <c r="I59" s="126">
        <f t="shared" si="2"/>
        <v>1393.46</v>
      </c>
      <c r="J59" s="28">
        <f t="shared" si="3"/>
        <v>620089.7000000001</v>
      </c>
      <c r="K59" s="29">
        <f t="shared" si="14"/>
        <v>808756.35</v>
      </c>
      <c r="L59" s="30">
        <f aca="true" t="shared" si="22" ref="L59:L81">+J59-K59</f>
        <v>-188666.6499999999</v>
      </c>
      <c r="M59" s="27">
        <f t="shared" si="7"/>
        <v>-9307.315819640675</v>
      </c>
      <c r="N59" s="19">
        <f t="shared" si="8"/>
        <v>-197973.96581964058</v>
      </c>
      <c r="O59" s="27">
        <f t="shared" si="9"/>
        <v>1637.91</v>
      </c>
      <c r="P59" s="27">
        <f t="shared" si="10"/>
        <v>728869.9500000001</v>
      </c>
      <c r="Q59" s="27">
        <f t="shared" si="11"/>
        <v>-79886.3999999999</v>
      </c>
      <c r="R59" s="19">
        <f t="shared" si="12"/>
        <v>-118087.56581964067</v>
      </c>
    </row>
    <row r="60" spans="1:18" ht="12.75">
      <c r="A60" s="3">
        <v>5</v>
      </c>
      <c r="B60" s="9">
        <f t="shared" si="5"/>
        <v>43221</v>
      </c>
      <c r="C60" s="125">
        <f t="shared" si="21"/>
        <v>43256</v>
      </c>
      <c r="D60" s="125">
        <f t="shared" si="21"/>
        <v>43271</v>
      </c>
      <c r="E60" s="20" t="s">
        <v>14</v>
      </c>
      <c r="F60" s="3">
        <v>9</v>
      </c>
      <c r="G60" s="194">
        <v>784</v>
      </c>
      <c r="H60" s="126">
        <f t="shared" si="1"/>
        <v>1817.43</v>
      </c>
      <c r="I60" s="126">
        <f t="shared" si="2"/>
        <v>1393.46</v>
      </c>
      <c r="J60" s="28">
        <f t="shared" si="3"/>
        <v>1092472.6400000001</v>
      </c>
      <c r="K60" s="29">
        <f t="shared" si="14"/>
        <v>1424865.12</v>
      </c>
      <c r="L60" s="30">
        <f t="shared" si="22"/>
        <v>-332392.48</v>
      </c>
      <c r="M60" s="27">
        <f t="shared" si="7"/>
        <v>-16397.608095726493</v>
      </c>
      <c r="N60" s="19">
        <f t="shared" si="8"/>
        <v>-348790.08809572645</v>
      </c>
      <c r="O60" s="27">
        <f t="shared" si="9"/>
        <v>1637.91</v>
      </c>
      <c r="P60" s="27">
        <f t="shared" si="10"/>
        <v>1284121.4400000002</v>
      </c>
      <c r="Q60" s="27">
        <f t="shared" si="11"/>
        <v>-140743.67999999993</v>
      </c>
      <c r="R60" s="19">
        <f t="shared" si="12"/>
        <v>-208046.4080957265</v>
      </c>
    </row>
    <row r="61" spans="1:18" ht="12.75">
      <c r="A61" s="3">
        <v>6</v>
      </c>
      <c r="B61" s="9">
        <f t="shared" si="5"/>
        <v>43252</v>
      </c>
      <c r="C61" s="125">
        <f t="shared" si="21"/>
        <v>43286</v>
      </c>
      <c r="D61" s="125">
        <f t="shared" si="21"/>
        <v>43301</v>
      </c>
      <c r="E61" s="20" t="s">
        <v>14</v>
      </c>
      <c r="F61" s="3">
        <v>9</v>
      </c>
      <c r="G61" s="194">
        <v>870</v>
      </c>
      <c r="H61" s="126">
        <f t="shared" si="1"/>
        <v>1817.43</v>
      </c>
      <c r="I61" s="126">
        <f t="shared" si="2"/>
        <v>1393.46</v>
      </c>
      <c r="J61" s="28">
        <f t="shared" si="3"/>
        <v>1212310.2</v>
      </c>
      <c r="K61" s="29">
        <f t="shared" si="14"/>
        <v>1581164.1</v>
      </c>
      <c r="L61" s="39">
        <f t="shared" si="22"/>
        <v>-368853.90000000014</v>
      </c>
      <c r="M61" s="27">
        <f t="shared" si="7"/>
        <v>-18196.325310308737</v>
      </c>
      <c r="N61" s="19">
        <f t="shared" si="8"/>
        <v>-387050.22531030886</v>
      </c>
      <c r="O61" s="27">
        <f t="shared" si="9"/>
        <v>1637.91</v>
      </c>
      <c r="P61" s="27">
        <f t="shared" si="10"/>
        <v>1424981.7000000002</v>
      </c>
      <c r="Q61" s="27">
        <f t="shared" si="11"/>
        <v>-156182.3999999999</v>
      </c>
      <c r="R61" s="19">
        <f t="shared" si="12"/>
        <v>-230867.82531030895</v>
      </c>
    </row>
    <row r="62" spans="1:18" ht="12.75">
      <c r="A62" s="10">
        <v>7</v>
      </c>
      <c r="B62" s="9">
        <f t="shared" si="5"/>
        <v>43282</v>
      </c>
      <c r="C62" s="125">
        <f t="shared" si="21"/>
        <v>43315</v>
      </c>
      <c r="D62" s="125">
        <f t="shared" si="21"/>
        <v>43330</v>
      </c>
      <c r="E62" s="20" t="s">
        <v>14</v>
      </c>
      <c r="F62" s="3">
        <v>9</v>
      </c>
      <c r="G62" s="194">
        <v>933</v>
      </c>
      <c r="H62" s="126">
        <f t="shared" si="1"/>
        <v>1817.43</v>
      </c>
      <c r="I62" s="126">
        <f t="shared" si="2"/>
        <v>1393.46</v>
      </c>
      <c r="J62" s="28">
        <f t="shared" si="3"/>
        <v>1300098.18</v>
      </c>
      <c r="K62" s="37">
        <f t="shared" si="14"/>
        <v>1695662.19</v>
      </c>
      <c r="L62" s="39">
        <f t="shared" si="22"/>
        <v>-395564.01</v>
      </c>
      <c r="M62" s="27">
        <f t="shared" si="7"/>
        <v>-19513.990246572474</v>
      </c>
      <c r="N62" s="19">
        <f t="shared" si="8"/>
        <v>-415078.0002465725</v>
      </c>
      <c r="O62" s="27">
        <f t="shared" si="9"/>
        <v>1637.91</v>
      </c>
      <c r="P62" s="27">
        <f t="shared" si="10"/>
        <v>1528170.03</v>
      </c>
      <c r="Q62" s="27">
        <f t="shared" si="11"/>
        <v>-167492.15999999992</v>
      </c>
      <c r="R62" s="19">
        <f t="shared" si="12"/>
        <v>-247585.84024657257</v>
      </c>
    </row>
    <row r="63" spans="1:18" ht="12.75">
      <c r="A63" s="3">
        <v>8</v>
      </c>
      <c r="B63" s="9">
        <f t="shared" si="5"/>
        <v>43313</v>
      </c>
      <c r="C63" s="125">
        <f t="shared" si="21"/>
        <v>43348</v>
      </c>
      <c r="D63" s="125">
        <f t="shared" si="21"/>
        <v>43363</v>
      </c>
      <c r="E63" s="20" t="s">
        <v>14</v>
      </c>
      <c r="F63" s="3">
        <v>9</v>
      </c>
      <c r="G63" s="194">
        <v>815</v>
      </c>
      <c r="H63" s="126">
        <f t="shared" si="1"/>
        <v>1817.43</v>
      </c>
      <c r="I63" s="126">
        <f t="shared" si="2"/>
        <v>1393.46</v>
      </c>
      <c r="J63" s="28">
        <f t="shared" si="3"/>
        <v>1135669.9000000001</v>
      </c>
      <c r="K63" s="37">
        <f t="shared" si="14"/>
        <v>1481205.45</v>
      </c>
      <c r="L63" s="39">
        <f t="shared" si="22"/>
        <v>-345535.5499999998</v>
      </c>
      <c r="M63" s="27">
        <f t="shared" si="7"/>
        <v>-17045.98290563405</v>
      </c>
      <c r="N63" s="19">
        <f t="shared" si="8"/>
        <v>-362581.53290563385</v>
      </c>
      <c r="O63" s="27">
        <f t="shared" si="9"/>
        <v>1637.91</v>
      </c>
      <c r="P63" s="27">
        <f t="shared" si="10"/>
        <v>1334896.6500000001</v>
      </c>
      <c r="Q63" s="27">
        <f t="shared" si="11"/>
        <v>-146308.7999999998</v>
      </c>
      <c r="R63" s="19">
        <f t="shared" si="12"/>
        <v>-216272.73290563404</v>
      </c>
    </row>
    <row r="64" spans="1:18" ht="12.75">
      <c r="A64" s="3">
        <v>9</v>
      </c>
      <c r="B64" s="9">
        <f t="shared" si="5"/>
        <v>43344</v>
      </c>
      <c r="C64" s="125">
        <f t="shared" si="21"/>
        <v>43376</v>
      </c>
      <c r="D64" s="125">
        <f t="shared" si="21"/>
        <v>43391</v>
      </c>
      <c r="E64" s="20" t="s">
        <v>14</v>
      </c>
      <c r="F64" s="3">
        <v>9</v>
      </c>
      <c r="G64" s="194">
        <v>801</v>
      </c>
      <c r="H64" s="126">
        <f t="shared" si="1"/>
        <v>1817.43</v>
      </c>
      <c r="I64" s="126">
        <f aca="true" t="shared" si="23" ref="I64:I107">$J$3</f>
        <v>1393.46</v>
      </c>
      <c r="J64" s="28">
        <f t="shared" si="3"/>
        <v>1116161.46</v>
      </c>
      <c r="K64" s="37">
        <f t="shared" si="14"/>
        <v>1455761.43</v>
      </c>
      <c r="L64" s="39">
        <f t="shared" si="22"/>
        <v>-339599.97</v>
      </c>
      <c r="M64" s="27">
        <f t="shared" si="7"/>
        <v>-16753.168475353217</v>
      </c>
      <c r="N64" s="19">
        <f t="shared" si="8"/>
        <v>-356353.1384753532</v>
      </c>
      <c r="O64" s="27">
        <f t="shared" si="9"/>
        <v>1637.91</v>
      </c>
      <c r="P64" s="27">
        <f t="shared" si="10"/>
        <v>1311965.9100000001</v>
      </c>
      <c r="Q64" s="27">
        <f t="shared" si="11"/>
        <v>-143795.5199999998</v>
      </c>
      <c r="R64" s="19">
        <f t="shared" si="12"/>
        <v>-212557.6184753534</v>
      </c>
    </row>
    <row r="65" spans="1:18" ht="12.75">
      <c r="A65" s="10">
        <v>10</v>
      </c>
      <c r="B65" s="9">
        <f t="shared" si="5"/>
        <v>43374</v>
      </c>
      <c r="C65" s="125">
        <f t="shared" si="21"/>
        <v>43409</v>
      </c>
      <c r="D65" s="125">
        <f t="shared" si="21"/>
        <v>43424</v>
      </c>
      <c r="E65" s="20" t="s">
        <v>14</v>
      </c>
      <c r="F65" s="3">
        <v>9</v>
      </c>
      <c r="G65" s="194">
        <v>683</v>
      </c>
      <c r="H65" s="126">
        <f t="shared" si="1"/>
        <v>1817.43</v>
      </c>
      <c r="I65" s="126">
        <f t="shared" si="23"/>
        <v>1393.46</v>
      </c>
      <c r="J65" s="28">
        <f t="shared" si="3"/>
        <v>951733.18</v>
      </c>
      <c r="K65" s="37">
        <f t="shared" si="14"/>
        <v>1241304.69</v>
      </c>
      <c r="L65" s="39">
        <f t="shared" si="22"/>
        <v>-289571.5099999999</v>
      </c>
      <c r="M65" s="27">
        <f t="shared" si="7"/>
        <v>-14285.161134414791</v>
      </c>
      <c r="N65" s="19">
        <f t="shared" si="8"/>
        <v>-303856.6711344147</v>
      </c>
      <c r="O65" s="27">
        <f t="shared" si="9"/>
        <v>1637.91</v>
      </c>
      <c r="P65" s="27">
        <f t="shared" si="10"/>
        <v>1118692.53</v>
      </c>
      <c r="Q65" s="27">
        <f t="shared" si="11"/>
        <v>-122612.15999999992</v>
      </c>
      <c r="R65" s="19">
        <f t="shared" si="12"/>
        <v>-181244.51113441476</v>
      </c>
    </row>
    <row r="66" spans="1:18" ht="12.75">
      <c r="A66" s="3">
        <v>11</v>
      </c>
      <c r="B66" s="9">
        <f t="shared" si="5"/>
        <v>43405</v>
      </c>
      <c r="C66" s="125">
        <f t="shared" si="21"/>
        <v>43439</v>
      </c>
      <c r="D66" s="125">
        <f t="shared" si="21"/>
        <v>43454</v>
      </c>
      <c r="E66" s="20" t="s">
        <v>14</v>
      </c>
      <c r="F66" s="3">
        <v>9</v>
      </c>
      <c r="G66" s="194">
        <v>700</v>
      </c>
      <c r="H66" s="126">
        <f t="shared" si="1"/>
        <v>1817.43</v>
      </c>
      <c r="I66" s="126">
        <f t="shared" si="23"/>
        <v>1393.46</v>
      </c>
      <c r="J66" s="28">
        <f t="shared" si="3"/>
        <v>975422</v>
      </c>
      <c r="K66" s="37">
        <f t="shared" si="14"/>
        <v>1272201</v>
      </c>
      <c r="L66" s="39">
        <f t="shared" si="22"/>
        <v>-296779</v>
      </c>
      <c r="M66" s="27">
        <f t="shared" si="7"/>
        <v>-14640.721514041514</v>
      </c>
      <c r="N66" s="19">
        <f t="shared" si="8"/>
        <v>-311419.72151404154</v>
      </c>
      <c r="O66" s="27">
        <f t="shared" si="9"/>
        <v>1637.91</v>
      </c>
      <c r="P66" s="27">
        <f t="shared" si="10"/>
        <v>1146537</v>
      </c>
      <c r="Q66" s="27">
        <f t="shared" si="11"/>
        <v>-125664</v>
      </c>
      <c r="R66" s="19">
        <f t="shared" si="12"/>
        <v>-185755.72151404154</v>
      </c>
    </row>
    <row r="67" spans="1:18" s="34" customFormat="1" ht="12.75">
      <c r="A67" s="3">
        <v>12</v>
      </c>
      <c r="B67" s="44">
        <f t="shared" si="5"/>
        <v>43435</v>
      </c>
      <c r="C67" s="125">
        <f t="shared" si="21"/>
        <v>43468</v>
      </c>
      <c r="D67" s="125">
        <f t="shared" si="21"/>
        <v>43483</v>
      </c>
      <c r="E67" s="45" t="s">
        <v>14</v>
      </c>
      <c r="F67" s="42">
        <v>9</v>
      </c>
      <c r="G67" s="195">
        <v>697</v>
      </c>
      <c r="H67" s="126">
        <f t="shared" si="1"/>
        <v>1817.43</v>
      </c>
      <c r="I67" s="127">
        <f t="shared" si="23"/>
        <v>1393.46</v>
      </c>
      <c r="J67" s="46">
        <f t="shared" si="3"/>
        <v>971241.62</v>
      </c>
      <c r="K67" s="47">
        <f t="shared" si="14"/>
        <v>1266748.71</v>
      </c>
      <c r="L67" s="48">
        <f t="shared" si="22"/>
        <v>-295507.08999999997</v>
      </c>
      <c r="M67" s="27">
        <f t="shared" si="7"/>
        <v>-14577.97556469562</v>
      </c>
      <c r="N67" s="19">
        <f t="shared" si="8"/>
        <v>-310085.0655646956</v>
      </c>
      <c r="O67" s="27">
        <f t="shared" si="9"/>
        <v>1637.91</v>
      </c>
      <c r="P67" s="27">
        <f t="shared" si="10"/>
        <v>1141623.27</v>
      </c>
      <c r="Q67" s="27">
        <f t="shared" si="11"/>
        <v>-125125.43999999994</v>
      </c>
      <c r="R67" s="19">
        <f t="shared" si="12"/>
        <v>-184959.62556469563</v>
      </c>
    </row>
    <row r="68" spans="1:18" ht="12.75">
      <c r="A68" s="10">
        <v>1</v>
      </c>
      <c r="B68" s="9">
        <f t="shared" si="5"/>
        <v>43101</v>
      </c>
      <c r="C68" s="124">
        <f aca="true" t="shared" si="24" ref="C68:D79">+C56</f>
        <v>43136</v>
      </c>
      <c r="D68" s="124">
        <f t="shared" si="24"/>
        <v>43151</v>
      </c>
      <c r="E68" s="60" t="s">
        <v>83</v>
      </c>
      <c r="F68" s="10">
        <v>9</v>
      </c>
      <c r="G68" s="194">
        <v>50</v>
      </c>
      <c r="H68" s="126">
        <f t="shared" si="1"/>
        <v>1817.43</v>
      </c>
      <c r="I68" s="126">
        <f t="shared" si="23"/>
        <v>1393.46</v>
      </c>
      <c r="J68" s="28">
        <f t="shared" si="3"/>
        <v>69673</v>
      </c>
      <c r="K68" s="29">
        <f t="shared" si="14"/>
        <v>90871.5</v>
      </c>
      <c r="L68" s="30">
        <f t="shared" si="22"/>
        <v>-21198.5</v>
      </c>
      <c r="M68" s="27">
        <f t="shared" si="7"/>
        <v>-1045.7658224315367</v>
      </c>
      <c r="N68" s="19">
        <f t="shared" si="8"/>
        <v>-22244.26582243154</v>
      </c>
      <c r="O68" s="27">
        <f t="shared" si="9"/>
        <v>1637.91</v>
      </c>
      <c r="P68" s="27">
        <f t="shared" si="10"/>
        <v>81895.5</v>
      </c>
      <c r="Q68" s="27">
        <f t="shared" si="11"/>
        <v>-8976</v>
      </c>
      <c r="R68" s="19">
        <f t="shared" si="12"/>
        <v>-13268.265822431538</v>
      </c>
    </row>
    <row r="69" spans="1:18" ht="12.75">
      <c r="A69" s="3">
        <v>2</v>
      </c>
      <c r="B69" s="9">
        <f t="shared" si="5"/>
        <v>43132</v>
      </c>
      <c r="C69" s="125">
        <f t="shared" si="24"/>
        <v>43164</v>
      </c>
      <c r="D69" s="125">
        <f t="shared" si="24"/>
        <v>43179</v>
      </c>
      <c r="E69" s="35" t="s">
        <v>83</v>
      </c>
      <c r="F69" s="3">
        <v>9</v>
      </c>
      <c r="G69" s="194">
        <v>44</v>
      </c>
      <c r="H69" s="126">
        <f t="shared" si="1"/>
        <v>1817.43</v>
      </c>
      <c r="I69" s="126">
        <f t="shared" si="23"/>
        <v>1393.46</v>
      </c>
      <c r="J69" s="28">
        <f t="shared" si="3"/>
        <v>61312.240000000005</v>
      </c>
      <c r="K69" s="29">
        <f t="shared" si="14"/>
        <v>79966.92</v>
      </c>
      <c r="L69" s="30">
        <f t="shared" si="22"/>
        <v>-18654.679999999993</v>
      </c>
      <c r="M69" s="27">
        <f t="shared" si="7"/>
        <v>-920.2739237397523</v>
      </c>
      <c r="N69" s="19">
        <f t="shared" si="8"/>
        <v>-19574.953923739744</v>
      </c>
      <c r="O69" s="27">
        <f t="shared" si="9"/>
        <v>1637.91</v>
      </c>
      <c r="P69" s="27">
        <f t="shared" si="10"/>
        <v>72068.04000000001</v>
      </c>
      <c r="Q69" s="27">
        <f t="shared" si="11"/>
        <v>-7898.87999999999</v>
      </c>
      <c r="R69" s="19">
        <f t="shared" si="12"/>
        <v>-11676.073923739754</v>
      </c>
    </row>
    <row r="70" spans="1:18" ht="12.75">
      <c r="A70" s="3">
        <v>3</v>
      </c>
      <c r="B70" s="9">
        <f t="shared" si="5"/>
        <v>43160</v>
      </c>
      <c r="C70" s="125">
        <f t="shared" si="24"/>
        <v>43194</v>
      </c>
      <c r="D70" s="125">
        <f t="shared" si="24"/>
        <v>43209</v>
      </c>
      <c r="E70" s="35" t="s">
        <v>83</v>
      </c>
      <c r="F70" s="3">
        <v>9</v>
      </c>
      <c r="G70" s="194">
        <v>31</v>
      </c>
      <c r="H70" s="126">
        <f t="shared" si="1"/>
        <v>1817.43</v>
      </c>
      <c r="I70" s="126">
        <f t="shared" si="23"/>
        <v>1393.46</v>
      </c>
      <c r="J70" s="28">
        <f t="shared" si="3"/>
        <v>43197.26</v>
      </c>
      <c r="K70" s="29">
        <f t="shared" si="14"/>
        <v>56340.33</v>
      </c>
      <c r="L70" s="30">
        <f>+J70-K70</f>
        <v>-13143.07</v>
      </c>
      <c r="M70" s="27">
        <f t="shared" si="7"/>
        <v>-648.3748099075527</v>
      </c>
      <c r="N70" s="19">
        <f t="shared" si="8"/>
        <v>-13791.444809907553</v>
      </c>
      <c r="O70" s="27">
        <f t="shared" si="9"/>
        <v>1637.91</v>
      </c>
      <c r="P70" s="27">
        <f t="shared" si="10"/>
        <v>50775.21</v>
      </c>
      <c r="Q70" s="27">
        <f t="shared" si="11"/>
        <v>-5565.120000000003</v>
      </c>
      <c r="R70" s="19">
        <f t="shared" si="12"/>
        <v>-8226.32480990755</v>
      </c>
    </row>
    <row r="71" spans="1:18" ht="12.75">
      <c r="A71" s="10">
        <v>4</v>
      </c>
      <c r="B71" s="9">
        <f t="shared" si="5"/>
        <v>43191</v>
      </c>
      <c r="C71" s="125">
        <f t="shared" si="24"/>
        <v>43223</v>
      </c>
      <c r="D71" s="125">
        <f t="shared" si="24"/>
        <v>43238</v>
      </c>
      <c r="E71" s="35" t="s">
        <v>83</v>
      </c>
      <c r="F71" s="3">
        <v>9</v>
      </c>
      <c r="G71" s="194">
        <v>23</v>
      </c>
      <c r="H71" s="126">
        <f t="shared" si="1"/>
        <v>1817.43</v>
      </c>
      <c r="I71" s="126">
        <f t="shared" si="23"/>
        <v>1393.46</v>
      </c>
      <c r="J71" s="28">
        <f t="shared" si="3"/>
        <v>32049.58</v>
      </c>
      <c r="K71" s="29">
        <f t="shared" si="14"/>
        <v>41800.89</v>
      </c>
      <c r="L71" s="30">
        <f aca="true" t="shared" si="25" ref="L71:L79">+J71-K71</f>
        <v>-9751.309999999998</v>
      </c>
      <c r="M71" s="27">
        <f t="shared" si="7"/>
        <v>-481.05227831850686</v>
      </c>
      <c r="N71" s="19">
        <f t="shared" si="8"/>
        <v>-10232.362278318504</v>
      </c>
      <c r="O71" s="27">
        <f t="shared" si="9"/>
        <v>1637.91</v>
      </c>
      <c r="P71" s="27">
        <f t="shared" si="10"/>
        <v>37671.93</v>
      </c>
      <c r="Q71" s="27">
        <f t="shared" si="11"/>
        <v>-4128.959999999999</v>
      </c>
      <c r="R71" s="19">
        <f t="shared" si="12"/>
        <v>-6103.402278318505</v>
      </c>
    </row>
    <row r="72" spans="1:18" ht="12.75">
      <c r="A72" s="3">
        <v>5</v>
      </c>
      <c r="B72" s="9">
        <f t="shared" si="5"/>
        <v>43221</v>
      </c>
      <c r="C72" s="125">
        <f t="shared" si="24"/>
        <v>43256</v>
      </c>
      <c r="D72" s="125">
        <f t="shared" si="24"/>
        <v>43271</v>
      </c>
      <c r="E72" s="35" t="s">
        <v>83</v>
      </c>
      <c r="F72" s="3">
        <v>9</v>
      </c>
      <c r="G72" s="194">
        <v>42</v>
      </c>
      <c r="H72" s="126">
        <f t="shared" si="1"/>
        <v>1817.43</v>
      </c>
      <c r="I72" s="126">
        <f t="shared" si="23"/>
        <v>1393.46</v>
      </c>
      <c r="J72" s="28">
        <f t="shared" si="3"/>
        <v>58525.32</v>
      </c>
      <c r="K72" s="29">
        <f t="shared" si="14"/>
        <v>76332.06</v>
      </c>
      <c r="L72" s="30">
        <f t="shared" si="25"/>
        <v>-17806.739999999998</v>
      </c>
      <c r="M72" s="27">
        <f t="shared" si="7"/>
        <v>-878.4432908424908</v>
      </c>
      <c r="N72" s="19">
        <f t="shared" si="8"/>
        <v>-18685.183290842488</v>
      </c>
      <c r="O72" s="27">
        <f t="shared" si="9"/>
        <v>1637.91</v>
      </c>
      <c r="P72" s="27">
        <f t="shared" si="10"/>
        <v>68792.22</v>
      </c>
      <c r="Q72" s="27">
        <f t="shared" si="11"/>
        <v>-7539.8399999999965</v>
      </c>
      <c r="R72" s="19">
        <f t="shared" si="12"/>
        <v>-11145.343290842491</v>
      </c>
    </row>
    <row r="73" spans="1:18" ht="12.75">
      <c r="A73" s="3">
        <v>6</v>
      </c>
      <c r="B73" s="9">
        <f t="shared" si="5"/>
        <v>43252</v>
      </c>
      <c r="C73" s="125">
        <f t="shared" si="24"/>
        <v>43286</v>
      </c>
      <c r="D73" s="125">
        <f t="shared" si="24"/>
        <v>43301</v>
      </c>
      <c r="E73" s="35" t="s">
        <v>83</v>
      </c>
      <c r="F73" s="3">
        <v>9</v>
      </c>
      <c r="G73" s="194">
        <v>48</v>
      </c>
      <c r="H73" s="126">
        <f t="shared" si="1"/>
        <v>1817.43</v>
      </c>
      <c r="I73" s="126">
        <f t="shared" si="23"/>
        <v>1393.46</v>
      </c>
      <c r="J73" s="28">
        <f t="shared" si="3"/>
        <v>66886.08</v>
      </c>
      <c r="K73" s="29">
        <f t="shared" si="14"/>
        <v>87236.64</v>
      </c>
      <c r="L73" s="39">
        <f t="shared" si="25"/>
        <v>-20350.559999999998</v>
      </c>
      <c r="M73" s="27">
        <f t="shared" si="7"/>
        <v>-1003.9351895342752</v>
      </c>
      <c r="N73" s="19">
        <f t="shared" si="8"/>
        <v>-21354.495189534275</v>
      </c>
      <c r="O73" s="27">
        <f t="shared" si="9"/>
        <v>1637.91</v>
      </c>
      <c r="P73" s="27">
        <f t="shared" si="10"/>
        <v>78619.68000000001</v>
      </c>
      <c r="Q73" s="27">
        <f t="shared" si="11"/>
        <v>-8616.959999999992</v>
      </c>
      <c r="R73" s="19">
        <f t="shared" si="12"/>
        <v>-12737.535189534283</v>
      </c>
    </row>
    <row r="74" spans="1:18" ht="12.75">
      <c r="A74" s="10">
        <v>7</v>
      </c>
      <c r="B74" s="9">
        <f t="shared" si="5"/>
        <v>43282</v>
      </c>
      <c r="C74" s="125">
        <f t="shared" si="24"/>
        <v>43315</v>
      </c>
      <c r="D74" s="125">
        <f t="shared" si="24"/>
        <v>43330</v>
      </c>
      <c r="E74" s="35" t="s">
        <v>83</v>
      </c>
      <c r="F74" s="3">
        <v>9</v>
      </c>
      <c r="G74" s="194">
        <v>53</v>
      </c>
      <c r="H74" s="126">
        <f t="shared" si="1"/>
        <v>1817.43</v>
      </c>
      <c r="I74" s="126">
        <f t="shared" si="23"/>
        <v>1393.46</v>
      </c>
      <c r="J74" s="28">
        <f t="shared" si="3"/>
        <v>73853.38</v>
      </c>
      <c r="K74" s="37">
        <f t="shared" si="14"/>
        <v>96323.79000000001</v>
      </c>
      <c r="L74" s="39">
        <f t="shared" si="25"/>
        <v>-22470.410000000003</v>
      </c>
      <c r="M74" s="27">
        <f t="shared" si="7"/>
        <v>-1108.511771777429</v>
      </c>
      <c r="N74" s="19">
        <f t="shared" si="8"/>
        <v>-23578.921771777434</v>
      </c>
      <c r="O74" s="27">
        <f t="shared" si="9"/>
        <v>1637.91</v>
      </c>
      <c r="P74" s="27">
        <f t="shared" si="10"/>
        <v>86809.23000000001</v>
      </c>
      <c r="Q74" s="27">
        <f t="shared" si="11"/>
        <v>-9514.559999999998</v>
      </c>
      <c r="R74" s="19">
        <f t="shared" si="12"/>
        <v>-14064.361771777436</v>
      </c>
    </row>
    <row r="75" spans="1:18" ht="12.75">
      <c r="A75" s="3">
        <v>8</v>
      </c>
      <c r="B75" s="9">
        <f t="shared" si="5"/>
        <v>43313</v>
      </c>
      <c r="C75" s="125">
        <f t="shared" si="24"/>
        <v>43348</v>
      </c>
      <c r="D75" s="125">
        <f t="shared" si="24"/>
        <v>43363</v>
      </c>
      <c r="E75" s="35" t="s">
        <v>83</v>
      </c>
      <c r="F75" s="3">
        <v>9</v>
      </c>
      <c r="G75" s="194">
        <v>45</v>
      </c>
      <c r="H75" s="126">
        <f t="shared" si="1"/>
        <v>1817.43</v>
      </c>
      <c r="I75" s="126">
        <f t="shared" si="23"/>
        <v>1393.46</v>
      </c>
      <c r="J75" s="28">
        <f t="shared" si="3"/>
        <v>62705.700000000004</v>
      </c>
      <c r="K75" s="37">
        <f t="shared" si="14"/>
        <v>81784.35</v>
      </c>
      <c r="L75" s="39">
        <f t="shared" si="25"/>
        <v>-19078.65</v>
      </c>
      <c r="M75" s="27">
        <f t="shared" si="7"/>
        <v>-941.189240188383</v>
      </c>
      <c r="N75" s="19">
        <f t="shared" si="8"/>
        <v>-20019.839240188383</v>
      </c>
      <c r="O75" s="27">
        <f t="shared" si="9"/>
        <v>1637.91</v>
      </c>
      <c r="P75" s="27">
        <f t="shared" si="10"/>
        <v>73705.95</v>
      </c>
      <c r="Q75" s="27">
        <f t="shared" si="11"/>
        <v>-8078.400000000009</v>
      </c>
      <c r="R75" s="19">
        <f t="shared" si="12"/>
        <v>-11941.439240188374</v>
      </c>
    </row>
    <row r="76" spans="1:18" ht="12.75">
      <c r="A76" s="3">
        <v>9</v>
      </c>
      <c r="B76" s="9">
        <f t="shared" si="5"/>
        <v>43344</v>
      </c>
      <c r="C76" s="125">
        <f t="shared" si="24"/>
        <v>43376</v>
      </c>
      <c r="D76" s="125">
        <f t="shared" si="24"/>
        <v>43391</v>
      </c>
      <c r="E76" s="35" t="s">
        <v>83</v>
      </c>
      <c r="F76" s="3">
        <v>9</v>
      </c>
      <c r="G76" s="194">
        <v>43</v>
      </c>
      <c r="H76" s="126">
        <f t="shared" si="1"/>
        <v>1817.43</v>
      </c>
      <c r="I76" s="126">
        <f t="shared" si="23"/>
        <v>1393.46</v>
      </c>
      <c r="J76" s="28">
        <f t="shared" si="3"/>
        <v>59918.78</v>
      </c>
      <c r="K76" s="37">
        <f t="shared" si="14"/>
        <v>78149.49</v>
      </c>
      <c r="L76" s="39">
        <f t="shared" si="25"/>
        <v>-18230.710000000006</v>
      </c>
      <c r="M76" s="27">
        <f t="shared" si="7"/>
        <v>-899.3586072911215</v>
      </c>
      <c r="N76" s="19">
        <f t="shared" si="8"/>
        <v>-19130.068607291127</v>
      </c>
      <c r="O76" s="27">
        <f t="shared" si="9"/>
        <v>1637.91</v>
      </c>
      <c r="P76" s="27">
        <f t="shared" si="10"/>
        <v>70430.13</v>
      </c>
      <c r="Q76" s="27">
        <f t="shared" si="11"/>
        <v>-7719.360000000001</v>
      </c>
      <c r="R76" s="19">
        <f t="shared" si="12"/>
        <v>-11410.708607291126</v>
      </c>
    </row>
    <row r="77" spans="1:18" ht="12.75">
      <c r="A77" s="10">
        <v>10</v>
      </c>
      <c r="B77" s="9">
        <f t="shared" si="5"/>
        <v>43374</v>
      </c>
      <c r="C77" s="125">
        <f t="shared" si="24"/>
        <v>43409</v>
      </c>
      <c r="D77" s="125">
        <f t="shared" si="24"/>
        <v>43424</v>
      </c>
      <c r="E77" s="35" t="s">
        <v>83</v>
      </c>
      <c r="F77" s="3">
        <v>9</v>
      </c>
      <c r="G77" s="194">
        <v>35</v>
      </c>
      <c r="H77" s="126">
        <f t="shared" si="1"/>
        <v>1817.43</v>
      </c>
      <c r="I77" s="126">
        <f t="shared" si="23"/>
        <v>1393.46</v>
      </c>
      <c r="J77" s="28">
        <f t="shared" si="3"/>
        <v>48771.1</v>
      </c>
      <c r="K77" s="37">
        <f t="shared" si="14"/>
        <v>63610.05</v>
      </c>
      <c r="L77" s="39">
        <f t="shared" si="25"/>
        <v>-14838.950000000004</v>
      </c>
      <c r="M77" s="27">
        <f t="shared" si="7"/>
        <v>-732.0360757020757</v>
      </c>
      <c r="N77" s="19">
        <f t="shared" si="8"/>
        <v>-15570.98607570208</v>
      </c>
      <c r="O77" s="27">
        <f t="shared" si="9"/>
        <v>1637.91</v>
      </c>
      <c r="P77" s="27">
        <f t="shared" si="10"/>
        <v>57326.850000000006</v>
      </c>
      <c r="Q77" s="27">
        <f t="shared" si="11"/>
        <v>-6283.199999999997</v>
      </c>
      <c r="R77" s="19">
        <f t="shared" si="12"/>
        <v>-9287.786075702083</v>
      </c>
    </row>
    <row r="78" spans="1:18" ht="12.75">
      <c r="A78" s="3">
        <v>11</v>
      </c>
      <c r="B78" s="9">
        <f t="shared" si="5"/>
        <v>43405</v>
      </c>
      <c r="C78" s="125">
        <f t="shared" si="24"/>
        <v>43439</v>
      </c>
      <c r="D78" s="125">
        <f t="shared" si="24"/>
        <v>43454</v>
      </c>
      <c r="E78" s="35" t="s">
        <v>83</v>
      </c>
      <c r="F78" s="3">
        <v>9</v>
      </c>
      <c r="G78" s="194">
        <v>35</v>
      </c>
      <c r="H78" s="126">
        <f t="shared" si="1"/>
        <v>1817.43</v>
      </c>
      <c r="I78" s="126">
        <f t="shared" si="23"/>
        <v>1393.46</v>
      </c>
      <c r="J78" s="28">
        <f t="shared" si="3"/>
        <v>48771.1</v>
      </c>
      <c r="K78" s="37">
        <f>+$G78*H78</f>
        <v>63610.05</v>
      </c>
      <c r="L78" s="39">
        <f t="shared" si="25"/>
        <v>-14838.950000000004</v>
      </c>
      <c r="M78" s="27">
        <f t="shared" si="7"/>
        <v>-732.0360757020757</v>
      </c>
      <c r="N78" s="19">
        <f t="shared" si="8"/>
        <v>-15570.98607570208</v>
      </c>
      <c r="O78" s="27">
        <f t="shared" si="9"/>
        <v>1637.91</v>
      </c>
      <c r="P78" s="27">
        <f t="shared" si="10"/>
        <v>57326.850000000006</v>
      </c>
      <c r="Q78" s="27">
        <f t="shared" si="11"/>
        <v>-6283.199999999997</v>
      </c>
      <c r="R78" s="19">
        <f t="shared" si="12"/>
        <v>-9287.786075702083</v>
      </c>
    </row>
    <row r="79" spans="1:18" s="34" customFormat="1" ht="12.75">
      <c r="A79" s="3">
        <v>12</v>
      </c>
      <c r="B79" s="44">
        <f t="shared" si="5"/>
        <v>43435</v>
      </c>
      <c r="C79" s="136">
        <f t="shared" si="24"/>
        <v>43468</v>
      </c>
      <c r="D79" s="136">
        <f t="shared" si="24"/>
        <v>43483</v>
      </c>
      <c r="E79" s="189" t="s">
        <v>83</v>
      </c>
      <c r="F79" s="42">
        <v>9</v>
      </c>
      <c r="G79" s="195">
        <v>36</v>
      </c>
      <c r="H79" s="126">
        <f t="shared" si="1"/>
        <v>1817.43</v>
      </c>
      <c r="I79" s="127">
        <f t="shared" si="23"/>
        <v>1393.46</v>
      </c>
      <c r="J79" s="46">
        <f t="shared" si="3"/>
        <v>50164.56</v>
      </c>
      <c r="K79" s="47">
        <f>+$G79*H79</f>
        <v>65427.48</v>
      </c>
      <c r="L79" s="48">
        <f t="shared" si="25"/>
        <v>-15262.920000000006</v>
      </c>
      <c r="M79" s="27">
        <f t="shared" si="7"/>
        <v>-752.9513921507064</v>
      </c>
      <c r="N79" s="19">
        <f t="shared" si="8"/>
        <v>-16015.871392150711</v>
      </c>
      <c r="O79" s="27">
        <f t="shared" si="9"/>
        <v>1637.91</v>
      </c>
      <c r="P79" s="27">
        <f t="shared" si="10"/>
        <v>58964.76</v>
      </c>
      <c r="Q79" s="27">
        <f t="shared" si="11"/>
        <v>-6462.720000000001</v>
      </c>
      <c r="R79" s="19">
        <f t="shared" si="12"/>
        <v>-9553.15139215071</v>
      </c>
    </row>
    <row r="80" spans="1:18" s="8" customFormat="1" ht="12.75" customHeight="1">
      <c r="A80" s="10">
        <v>1</v>
      </c>
      <c r="B80" s="9">
        <f t="shared" si="5"/>
        <v>43101</v>
      </c>
      <c r="C80" s="124">
        <f aca="true" t="shared" si="26" ref="C80:D91">+C56</f>
        <v>43136</v>
      </c>
      <c r="D80" s="124">
        <f t="shared" si="26"/>
        <v>43151</v>
      </c>
      <c r="E80" s="60" t="s">
        <v>9</v>
      </c>
      <c r="F80" s="10">
        <v>9</v>
      </c>
      <c r="G80" s="194">
        <v>47</v>
      </c>
      <c r="H80" s="126">
        <f t="shared" si="1"/>
        <v>1817.43</v>
      </c>
      <c r="I80" s="126">
        <f t="shared" si="23"/>
        <v>1393.46</v>
      </c>
      <c r="J80" s="28">
        <f t="shared" si="3"/>
        <v>65492.62</v>
      </c>
      <c r="K80" s="29">
        <f t="shared" si="14"/>
        <v>85419.21</v>
      </c>
      <c r="L80" s="30">
        <f t="shared" si="22"/>
        <v>-19926.590000000004</v>
      </c>
      <c r="M80" s="27">
        <f t="shared" si="7"/>
        <v>-983.0198730856445</v>
      </c>
      <c r="N80" s="19">
        <f t="shared" si="8"/>
        <v>-20909.609873085647</v>
      </c>
      <c r="O80" s="27">
        <f t="shared" si="9"/>
        <v>1637.91</v>
      </c>
      <c r="P80" s="27">
        <f t="shared" si="10"/>
        <v>76981.77</v>
      </c>
      <c r="Q80" s="27">
        <f t="shared" si="11"/>
        <v>-8437.440000000002</v>
      </c>
      <c r="R80" s="19">
        <f t="shared" si="12"/>
        <v>-12472.169873085644</v>
      </c>
    </row>
    <row r="81" spans="1:18" ht="12.75">
      <c r="A81" s="3">
        <v>2</v>
      </c>
      <c r="B81" s="9">
        <f t="shared" si="5"/>
        <v>43132</v>
      </c>
      <c r="C81" s="125">
        <f t="shared" si="26"/>
        <v>43164</v>
      </c>
      <c r="D81" s="125">
        <f t="shared" si="26"/>
        <v>43179</v>
      </c>
      <c r="E81" s="35" t="s">
        <v>9</v>
      </c>
      <c r="F81" s="3">
        <v>9</v>
      </c>
      <c r="G81" s="194">
        <v>41</v>
      </c>
      <c r="H81" s="126">
        <f t="shared" si="1"/>
        <v>1817.43</v>
      </c>
      <c r="I81" s="126">
        <f t="shared" si="23"/>
        <v>1393.46</v>
      </c>
      <c r="J81" s="28">
        <f t="shared" si="3"/>
        <v>57131.86</v>
      </c>
      <c r="K81" s="29">
        <f t="shared" si="14"/>
        <v>74514.63</v>
      </c>
      <c r="L81" s="30">
        <f t="shared" si="22"/>
        <v>-17382.770000000004</v>
      </c>
      <c r="M81" s="27">
        <f t="shared" si="7"/>
        <v>-857.5279743938601</v>
      </c>
      <c r="N81" s="19">
        <f t="shared" si="8"/>
        <v>-18240.297974393863</v>
      </c>
      <c r="O81" s="27">
        <f t="shared" si="9"/>
        <v>1637.91</v>
      </c>
      <c r="P81" s="27">
        <f t="shared" si="10"/>
        <v>67154.31</v>
      </c>
      <c r="Q81" s="27">
        <f t="shared" si="11"/>
        <v>-7360.320000000007</v>
      </c>
      <c r="R81" s="19">
        <f t="shared" si="12"/>
        <v>-10879.977974393856</v>
      </c>
    </row>
    <row r="82" spans="1:18" ht="12.75">
      <c r="A82" s="3">
        <v>3</v>
      </c>
      <c r="B82" s="9">
        <f t="shared" si="5"/>
        <v>43160</v>
      </c>
      <c r="C82" s="125">
        <f t="shared" si="26"/>
        <v>43194</v>
      </c>
      <c r="D82" s="125">
        <f t="shared" si="26"/>
        <v>43209</v>
      </c>
      <c r="E82" s="35" t="s">
        <v>9</v>
      </c>
      <c r="F82" s="3">
        <v>9</v>
      </c>
      <c r="G82" s="194">
        <v>34</v>
      </c>
      <c r="H82" s="126">
        <f t="shared" si="1"/>
        <v>1817.43</v>
      </c>
      <c r="I82" s="126">
        <f t="shared" si="23"/>
        <v>1393.46</v>
      </c>
      <c r="J82" s="28">
        <f t="shared" si="3"/>
        <v>47377.64</v>
      </c>
      <c r="K82" s="29">
        <f t="shared" si="14"/>
        <v>61792.62</v>
      </c>
      <c r="L82" s="30">
        <f>+J82-K82</f>
        <v>-14414.980000000003</v>
      </c>
      <c r="M82" s="27">
        <f t="shared" si="7"/>
        <v>-711.1207592534449</v>
      </c>
      <c r="N82" s="19">
        <f t="shared" si="8"/>
        <v>-15126.100759253448</v>
      </c>
      <c r="O82" s="27">
        <f t="shared" si="9"/>
        <v>1637.91</v>
      </c>
      <c r="P82" s="27">
        <f t="shared" si="10"/>
        <v>55688.94</v>
      </c>
      <c r="Q82" s="27">
        <f t="shared" si="11"/>
        <v>-6103.68</v>
      </c>
      <c r="R82" s="19">
        <f t="shared" si="12"/>
        <v>-9022.420759253448</v>
      </c>
    </row>
    <row r="83" spans="1:18" ht="12" customHeight="1">
      <c r="A83" s="10">
        <v>4</v>
      </c>
      <c r="B83" s="9">
        <f t="shared" si="5"/>
        <v>43191</v>
      </c>
      <c r="C83" s="125">
        <f t="shared" si="26"/>
        <v>43223</v>
      </c>
      <c r="D83" s="125">
        <f t="shared" si="26"/>
        <v>43238</v>
      </c>
      <c r="E83" s="20" t="s">
        <v>9</v>
      </c>
      <c r="F83" s="3">
        <v>9</v>
      </c>
      <c r="G83" s="194">
        <v>23</v>
      </c>
      <c r="H83" s="126">
        <f t="shared" si="1"/>
        <v>1817.43</v>
      </c>
      <c r="I83" s="126">
        <f t="shared" si="23"/>
        <v>1393.46</v>
      </c>
      <c r="J83" s="28">
        <f t="shared" si="3"/>
        <v>32049.58</v>
      </c>
      <c r="K83" s="29">
        <f t="shared" si="14"/>
        <v>41800.89</v>
      </c>
      <c r="L83" s="30">
        <f aca="true" t="shared" si="27" ref="L83:L93">+J83-K83</f>
        <v>-9751.309999999998</v>
      </c>
      <c r="M83" s="27">
        <f t="shared" si="7"/>
        <v>-481.05227831850686</v>
      </c>
      <c r="N83" s="19">
        <f t="shared" si="8"/>
        <v>-10232.362278318504</v>
      </c>
      <c r="O83" s="27">
        <f t="shared" si="9"/>
        <v>1637.91</v>
      </c>
      <c r="P83" s="27">
        <f t="shared" si="10"/>
        <v>37671.93</v>
      </c>
      <c r="Q83" s="27">
        <f t="shared" si="11"/>
        <v>-4128.959999999999</v>
      </c>
      <c r="R83" s="19">
        <f t="shared" si="12"/>
        <v>-6103.402278318505</v>
      </c>
    </row>
    <row r="84" spans="1:18" ht="12" customHeight="1">
      <c r="A84" s="3">
        <v>5</v>
      </c>
      <c r="B84" s="9">
        <f t="shared" si="5"/>
        <v>43221</v>
      </c>
      <c r="C84" s="125">
        <f t="shared" si="26"/>
        <v>43256</v>
      </c>
      <c r="D84" s="125">
        <f t="shared" si="26"/>
        <v>43271</v>
      </c>
      <c r="E84" s="20" t="s">
        <v>9</v>
      </c>
      <c r="F84" s="3">
        <v>9</v>
      </c>
      <c r="G84" s="194">
        <v>36</v>
      </c>
      <c r="H84" s="126">
        <f aca="true" t="shared" si="28" ref="H84:H147">$K$3</f>
        <v>1817.43</v>
      </c>
      <c r="I84" s="126">
        <f t="shared" si="23"/>
        <v>1393.46</v>
      </c>
      <c r="J84" s="28">
        <f t="shared" si="3"/>
        <v>50164.56</v>
      </c>
      <c r="K84" s="29">
        <f t="shared" si="14"/>
        <v>65427.48</v>
      </c>
      <c r="L84" s="30">
        <f t="shared" si="27"/>
        <v>-15262.920000000006</v>
      </c>
      <c r="M84" s="27">
        <f t="shared" si="7"/>
        <v>-752.9513921507064</v>
      </c>
      <c r="N84" s="19">
        <f t="shared" si="8"/>
        <v>-16015.871392150711</v>
      </c>
      <c r="O84" s="27">
        <f t="shared" si="9"/>
        <v>1637.91</v>
      </c>
      <c r="P84" s="27">
        <f t="shared" si="10"/>
        <v>58964.76</v>
      </c>
      <c r="Q84" s="27">
        <f t="shared" si="11"/>
        <v>-6462.720000000001</v>
      </c>
      <c r="R84" s="19">
        <f t="shared" si="12"/>
        <v>-9553.15139215071</v>
      </c>
    </row>
    <row r="85" spans="1:18" ht="12.75">
      <c r="A85" s="3">
        <v>6</v>
      </c>
      <c r="B85" s="9">
        <f t="shared" si="5"/>
        <v>43252</v>
      </c>
      <c r="C85" s="125">
        <f t="shared" si="26"/>
        <v>43286</v>
      </c>
      <c r="D85" s="125">
        <f t="shared" si="26"/>
        <v>43301</v>
      </c>
      <c r="E85" s="20" t="s">
        <v>9</v>
      </c>
      <c r="F85" s="3">
        <v>9</v>
      </c>
      <c r="G85" s="194">
        <v>38</v>
      </c>
      <c r="H85" s="126">
        <f t="shared" si="28"/>
        <v>1817.43</v>
      </c>
      <c r="I85" s="126">
        <f t="shared" si="23"/>
        <v>1393.46</v>
      </c>
      <c r="J85" s="28">
        <f t="shared" si="3"/>
        <v>52951.48</v>
      </c>
      <c r="K85" s="29">
        <f t="shared" si="14"/>
        <v>69062.34</v>
      </c>
      <c r="L85" s="39">
        <f t="shared" si="27"/>
        <v>-16110.859999999993</v>
      </c>
      <c r="M85" s="27">
        <f aca="true" t="shared" si="29" ref="M85:M148">G85/$G$212*$M$14</f>
        <v>-794.7820250479679</v>
      </c>
      <c r="N85" s="19">
        <f aca="true" t="shared" si="30" ref="N85:N148">SUM(L85:M85)</f>
        <v>-16905.64202504796</v>
      </c>
      <c r="O85" s="27">
        <f aca="true" t="shared" si="31" ref="O85:O148">+$P$3</f>
        <v>1637.91</v>
      </c>
      <c r="P85" s="27">
        <f aca="true" t="shared" si="32" ref="P85:P148">+G85*O85</f>
        <v>62240.58</v>
      </c>
      <c r="Q85" s="27">
        <f aca="true" t="shared" si="33" ref="Q85:Q148">+P85-K85</f>
        <v>-6821.759999999995</v>
      </c>
      <c r="R85" s="19">
        <f aca="true" t="shared" si="34" ref="R85:R148">+N85-Q85</f>
        <v>-10083.882025047966</v>
      </c>
    </row>
    <row r="86" spans="1:18" ht="12.75">
      <c r="A86" s="10">
        <v>7</v>
      </c>
      <c r="B86" s="9">
        <f t="shared" si="5"/>
        <v>43282</v>
      </c>
      <c r="C86" s="125">
        <f t="shared" si="26"/>
        <v>43315</v>
      </c>
      <c r="D86" s="125">
        <f t="shared" si="26"/>
        <v>43330</v>
      </c>
      <c r="E86" s="20" t="s">
        <v>9</v>
      </c>
      <c r="F86" s="3">
        <v>9</v>
      </c>
      <c r="G86" s="194">
        <v>42</v>
      </c>
      <c r="H86" s="126">
        <f t="shared" si="28"/>
        <v>1817.43</v>
      </c>
      <c r="I86" s="126">
        <f t="shared" si="23"/>
        <v>1393.46</v>
      </c>
      <c r="J86" s="28">
        <f t="shared" si="3"/>
        <v>58525.32</v>
      </c>
      <c r="K86" s="37">
        <f t="shared" si="14"/>
        <v>76332.06</v>
      </c>
      <c r="L86" s="39">
        <f t="shared" si="27"/>
        <v>-17806.739999999998</v>
      </c>
      <c r="M86" s="27">
        <f t="shared" si="29"/>
        <v>-878.4432908424908</v>
      </c>
      <c r="N86" s="19">
        <f t="shared" si="30"/>
        <v>-18685.183290842488</v>
      </c>
      <c r="O86" s="27">
        <f t="shared" si="31"/>
        <v>1637.91</v>
      </c>
      <c r="P86" s="27">
        <f t="shared" si="32"/>
        <v>68792.22</v>
      </c>
      <c r="Q86" s="27">
        <f t="shared" si="33"/>
        <v>-7539.8399999999965</v>
      </c>
      <c r="R86" s="19">
        <f t="shared" si="34"/>
        <v>-11145.343290842491</v>
      </c>
    </row>
    <row r="87" spans="1:18" ht="12.75">
      <c r="A87" s="3">
        <v>8</v>
      </c>
      <c r="B87" s="9">
        <f t="shared" si="5"/>
        <v>43313</v>
      </c>
      <c r="C87" s="125">
        <f t="shared" si="26"/>
        <v>43348</v>
      </c>
      <c r="D87" s="125">
        <f t="shared" si="26"/>
        <v>43363</v>
      </c>
      <c r="E87" s="20" t="s">
        <v>9</v>
      </c>
      <c r="F87" s="3">
        <v>9</v>
      </c>
      <c r="G87" s="194">
        <v>37</v>
      </c>
      <c r="H87" s="126">
        <f t="shared" si="28"/>
        <v>1817.43</v>
      </c>
      <c r="I87" s="126">
        <f t="shared" si="23"/>
        <v>1393.46</v>
      </c>
      <c r="J87" s="28">
        <f t="shared" si="3"/>
        <v>51558.020000000004</v>
      </c>
      <c r="K87" s="37">
        <f t="shared" si="14"/>
        <v>67244.91</v>
      </c>
      <c r="L87" s="39">
        <f t="shared" si="27"/>
        <v>-15686.89</v>
      </c>
      <c r="M87" s="27">
        <f t="shared" si="29"/>
        <v>-773.8667085993371</v>
      </c>
      <c r="N87" s="19">
        <f t="shared" si="30"/>
        <v>-16460.756708599336</v>
      </c>
      <c r="O87" s="27">
        <f t="shared" si="31"/>
        <v>1637.91</v>
      </c>
      <c r="P87" s="27">
        <f t="shared" si="32"/>
        <v>60602.670000000006</v>
      </c>
      <c r="Q87" s="27">
        <f t="shared" si="33"/>
        <v>-6642.239999999998</v>
      </c>
      <c r="R87" s="19">
        <f t="shared" si="34"/>
        <v>-9818.516708599338</v>
      </c>
    </row>
    <row r="88" spans="1:18" ht="12.75">
      <c r="A88" s="3">
        <v>9</v>
      </c>
      <c r="B88" s="9">
        <f t="shared" si="5"/>
        <v>43344</v>
      </c>
      <c r="C88" s="125">
        <f t="shared" si="26"/>
        <v>43376</v>
      </c>
      <c r="D88" s="125">
        <f t="shared" si="26"/>
        <v>43391</v>
      </c>
      <c r="E88" s="20" t="s">
        <v>9</v>
      </c>
      <c r="F88" s="3">
        <v>9</v>
      </c>
      <c r="G88" s="194">
        <v>36</v>
      </c>
      <c r="H88" s="126">
        <f t="shared" si="28"/>
        <v>1817.43</v>
      </c>
      <c r="I88" s="126">
        <f t="shared" si="23"/>
        <v>1393.46</v>
      </c>
      <c r="J88" s="28">
        <f t="shared" si="3"/>
        <v>50164.56</v>
      </c>
      <c r="K88" s="37">
        <f t="shared" si="14"/>
        <v>65427.48</v>
      </c>
      <c r="L88" s="39">
        <f t="shared" si="27"/>
        <v>-15262.920000000006</v>
      </c>
      <c r="M88" s="27">
        <f t="shared" si="29"/>
        <v>-752.9513921507064</v>
      </c>
      <c r="N88" s="19">
        <f t="shared" si="30"/>
        <v>-16015.871392150711</v>
      </c>
      <c r="O88" s="27">
        <f t="shared" si="31"/>
        <v>1637.91</v>
      </c>
      <c r="P88" s="27">
        <f t="shared" si="32"/>
        <v>58964.76</v>
      </c>
      <c r="Q88" s="27">
        <f t="shared" si="33"/>
        <v>-6462.720000000001</v>
      </c>
      <c r="R88" s="19">
        <f t="shared" si="34"/>
        <v>-9553.15139215071</v>
      </c>
    </row>
    <row r="89" spans="1:18" ht="12.75">
      <c r="A89" s="10">
        <v>10</v>
      </c>
      <c r="B89" s="9">
        <f t="shared" si="5"/>
        <v>43374</v>
      </c>
      <c r="C89" s="125">
        <f t="shared" si="26"/>
        <v>43409</v>
      </c>
      <c r="D89" s="125">
        <f t="shared" si="26"/>
        <v>43424</v>
      </c>
      <c r="E89" s="20" t="s">
        <v>9</v>
      </c>
      <c r="F89" s="3">
        <v>9</v>
      </c>
      <c r="G89" s="194">
        <v>33</v>
      </c>
      <c r="H89" s="126">
        <f t="shared" si="28"/>
        <v>1817.43</v>
      </c>
      <c r="I89" s="126">
        <f t="shared" si="23"/>
        <v>1393.46</v>
      </c>
      <c r="J89" s="28">
        <f t="shared" si="3"/>
        <v>45984.18</v>
      </c>
      <c r="K89" s="37">
        <f t="shared" si="14"/>
        <v>59975.19</v>
      </c>
      <c r="L89" s="39">
        <f t="shared" si="27"/>
        <v>-13991.010000000002</v>
      </c>
      <c r="M89" s="27">
        <f t="shared" si="29"/>
        <v>-690.2054428048142</v>
      </c>
      <c r="N89" s="19">
        <f t="shared" si="30"/>
        <v>-14681.215442804816</v>
      </c>
      <c r="O89" s="27">
        <f t="shared" si="31"/>
        <v>1637.91</v>
      </c>
      <c r="P89" s="27">
        <f t="shared" si="32"/>
        <v>54051.030000000006</v>
      </c>
      <c r="Q89" s="27">
        <f t="shared" si="33"/>
        <v>-5924.159999999996</v>
      </c>
      <c r="R89" s="19">
        <f t="shared" si="34"/>
        <v>-8757.05544280482</v>
      </c>
    </row>
    <row r="90" spans="1:18" ht="12.75">
      <c r="A90" s="3">
        <v>11</v>
      </c>
      <c r="B90" s="9">
        <f t="shared" si="5"/>
        <v>43405</v>
      </c>
      <c r="C90" s="125">
        <f t="shared" si="26"/>
        <v>43439</v>
      </c>
      <c r="D90" s="125">
        <f t="shared" si="26"/>
        <v>43454</v>
      </c>
      <c r="E90" s="20" t="s">
        <v>9</v>
      </c>
      <c r="F90" s="3">
        <v>9</v>
      </c>
      <c r="G90" s="194">
        <v>36</v>
      </c>
      <c r="H90" s="126">
        <f t="shared" si="28"/>
        <v>1817.43</v>
      </c>
      <c r="I90" s="126">
        <f t="shared" si="23"/>
        <v>1393.46</v>
      </c>
      <c r="J90" s="28">
        <f t="shared" si="3"/>
        <v>50164.56</v>
      </c>
      <c r="K90" s="37">
        <f t="shared" si="14"/>
        <v>65427.48</v>
      </c>
      <c r="L90" s="39">
        <f t="shared" si="27"/>
        <v>-15262.920000000006</v>
      </c>
      <c r="M90" s="27">
        <f t="shared" si="29"/>
        <v>-752.9513921507064</v>
      </c>
      <c r="N90" s="19">
        <f t="shared" si="30"/>
        <v>-16015.871392150711</v>
      </c>
      <c r="O90" s="27">
        <f t="shared" si="31"/>
        <v>1637.91</v>
      </c>
      <c r="P90" s="27">
        <f t="shared" si="32"/>
        <v>58964.76</v>
      </c>
      <c r="Q90" s="27">
        <f t="shared" si="33"/>
        <v>-6462.720000000001</v>
      </c>
      <c r="R90" s="19">
        <f t="shared" si="34"/>
        <v>-9553.15139215071</v>
      </c>
    </row>
    <row r="91" spans="1:18" s="34" customFormat="1" ht="12.75">
      <c r="A91" s="3">
        <v>12</v>
      </c>
      <c r="B91" s="44">
        <f t="shared" si="5"/>
        <v>43435</v>
      </c>
      <c r="C91" s="125">
        <f t="shared" si="26"/>
        <v>43468</v>
      </c>
      <c r="D91" s="125">
        <f t="shared" si="26"/>
        <v>43483</v>
      </c>
      <c r="E91" s="45" t="s">
        <v>9</v>
      </c>
      <c r="F91" s="42">
        <v>9</v>
      </c>
      <c r="G91" s="195">
        <v>38</v>
      </c>
      <c r="H91" s="126">
        <f t="shared" si="28"/>
        <v>1817.43</v>
      </c>
      <c r="I91" s="127">
        <f t="shared" si="23"/>
        <v>1393.46</v>
      </c>
      <c r="J91" s="46">
        <f t="shared" si="3"/>
        <v>52951.48</v>
      </c>
      <c r="K91" s="47">
        <f t="shared" si="14"/>
        <v>69062.34</v>
      </c>
      <c r="L91" s="48">
        <f t="shared" si="27"/>
        <v>-16110.859999999993</v>
      </c>
      <c r="M91" s="27">
        <f t="shared" si="29"/>
        <v>-794.7820250479679</v>
      </c>
      <c r="N91" s="19">
        <f t="shared" si="30"/>
        <v>-16905.64202504796</v>
      </c>
      <c r="O91" s="27">
        <f t="shared" si="31"/>
        <v>1637.91</v>
      </c>
      <c r="P91" s="27">
        <f t="shared" si="32"/>
        <v>62240.58</v>
      </c>
      <c r="Q91" s="27">
        <f t="shared" si="33"/>
        <v>-6821.759999999995</v>
      </c>
      <c r="R91" s="19">
        <f t="shared" si="34"/>
        <v>-10083.882025047966</v>
      </c>
    </row>
    <row r="92" spans="1:18" ht="12.75">
      <c r="A92" s="10">
        <v>1</v>
      </c>
      <c r="B92" s="9">
        <f t="shared" si="5"/>
        <v>43101</v>
      </c>
      <c r="C92" s="124">
        <f aca="true" t="shared" si="35" ref="C92:D95">+C80</f>
        <v>43136</v>
      </c>
      <c r="D92" s="124">
        <f t="shared" si="35"/>
        <v>43151</v>
      </c>
      <c r="E92" s="60" t="s">
        <v>8</v>
      </c>
      <c r="F92" s="10">
        <v>9</v>
      </c>
      <c r="G92" s="194">
        <v>99</v>
      </c>
      <c r="H92" s="126">
        <f t="shared" si="28"/>
        <v>1817.43</v>
      </c>
      <c r="I92" s="126">
        <f t="shared" si="23"/>
        <v>1393.46</v>
      </c>
      <c r="J92" s="28">
        <f t="shared" si="3"/>
        <v>137952.54</v>
      </c>
      <c r="K92" s="29">
        <f t="shared" si="14"/>
        <v>179925.57</v>
      </c>
      <c r="L92" s="30">
        <f t="shared" si="27"/>
        <v>-41973.03</v>
      </c>
      <c r="M92" s="27">
        <f t="shared" si="29"/>
        <v>-2070.6163284144427</v>
      </c>
      <c r="N92" s="19">
        <f t="shared" si="30"/>
        <v>-44043.64632841444</v>
      </c>
      <c r="O92" s="27">
        <f t="shared" si="31"/>
        <v>1637.91</v>
      </c>
      <c r="P92" s="27">
        <f t="shared" si="32"/>
        <v>162153.09</v>
      </c>
      <c r="Q92" s="27">
        <f t="shared" si="33"/>
        <v>-17772.48000000001</v>
      </c>
      <c r="R92" s="19">
        <f t="shared" si="34"/>
        <v>-26271.16632841443</v>
      </c>
    </row>
    <row r="93" spans="1:18" ht="12.75">
      <c r="A93" s="3">
        <v>2</v>
      </c>
      <c r="B93" s="9">
        <f t="shared" si="5"/>
        <v>43132</v>
      </c>
      <c r="C93" s="125">
        <f t="shared" si="35"/>
        <v>43164</v>
      </c>
      <c r="D93" s="125">
        <f t="shared" si="35"/>
        <v>43179</v>
      </c>
      <c r="E93" s="35" t="s">
        <v>8</v>
      </c>
      <c r="F93" s="3">
        <v>9</v>
      </c>
      <c r="G93" s="194">
        <v>84</v>
      </c>
      <c r="H93" s="126">
        <f t="shared" si="28"/>
        <v>1817.43</v>
      </c>
      <c r="I93" s="126">
        <f t="shared" si="23"/>
        <v>1393.46</v>
      </c>
      <c r="J93" s="28">
        <f t="shared" si="3"/>
        <v>117050.64</v>
      </c>
      <c r="K93" s="29">
        <f t="shared" si="14"/>
        <v>152664.12</v>
      </c>
      <c r="L93" s="30">
        <f t="shared" si="27"/>
        <v>-35613.479999999996</v>
      </c>
      <c r="M93" s="27">
        <f t="shared" si="29"/>
        <v>-1756.8865816849816</v>
      </c>
      <c r="N93" s="19">
        <f t="shared" si="30"/>
        <v>-37370.366581684975</v>
      </c>
      <c r="O93" s="27">
        <f t="shared" si="31"/>
        <v>1637.91</v>
      </c>
      <c r="P93" s="27">
        <f t="shared" si="32"/>
        <v>137584.44</v>
      </c>
      <c r="Q93" s="27">
        <f t="shared" si="33"/>
        <v>-15079.679999999993</v>
      </c>
      <c r="R93" s="19">
        <f t="shared" si="34"/>
        <v>-22290.686581684982</v>
      </c>
    </row>
    <row r="94" spans="1:18" ht="12.75">
      <c r="A94" s="3">
        <v>3</v>
      </c>
      <c r="B94" s="9">
        <f t="shared" si="5"/>
        <v>43160</v>
      </c>
      <c r="C94" s="125">
        <f t="shared" si="35"/>
        <v>43194</v>
      </c>
      <c r="D94" s="125">
        <f t="shared" si="35"/>
        <v>43209</v>
      </c>
      <c r="E94" s="35" t="s">
        <v>8</v>
      </c>
      <c r="F94" s="3">
        <v>9</v>
      </c>
      <c r="G94" s="194">
        <v>68</v>
      </c>
      <c r="H94" s="126">
        <f t="shared" si="28"/>
        <v>1817.43</v>
      </c>
      <c r="I94" s="126">
        <f t="shared" si="23"/>
        <v>1393.46</v>
      </c>
      <c r="J94" s="28">
        <f t="shared" si="3"/>
        <v>94755.28</v>
      </c>
      <c r="K94" s="29">
        <f aca="true" t="shared" si="36" ref="K94:K133">+$G94*H94</f>
        <v>123585.24</v>
      </c>
      <c r="L94" s="30">
        <f>+J94-K94</f>
        <v>-28829.960000000006</v>
      </c>
      <c r="M94" s="27">
        <f t="shared" si="29"/>
        <v>-1422.2415185068899</v>
      </c>
      <c r="N94" s="19">
        <f t="shared" si="30"/>
        <v>-30252.201518506896</v>
      </c>
      <c r="O94" s="27">
        <f t="shared" si="31"/>
        <v>1637.91</v>
      </c>
      <c r="P94" s="27">
        <f t="shared" si="32"/>
        <v>111377.88</v>
      </c>
      <c r="Q94" s="27">
        <f t="shared" si="33"/>
        <v>-12207.36</v>
      </c>
      <c r="R94" s="19">
        <f t="shared" si="34"/>
        <v>-18044.841518506895</v>
      </c>
    </row>
    <row r="95" spans="1:18" ht="12.75">
      <c r="A95" s="10">
        <v>4</v>
      </c>
      <c r="B95" s="9">
        <f t="shared" si="5"/>
        <v>43191</v>
      </c>
      <c r="C95" s="125">
        <f t="shared" si="35"/>
        <v>43223</v>
      </c>
      <c r="D95" s="125">
        <f t="shared" si="35"/>
        <v>43238</v>
      </c>
      <c r="E95" s="35" t="s">
        <v>8</v>
      </c>
      <c r="F95" s="3">
        <v>9</v>
      </c>
      <c r="G95" s="194">
        <v>74</v>
      </c>
      <c r="H95" s="126">
        <f t="shared" si="28"/>
        <v>1817.43</v>
      </c>
      <c r="I95" s="126">
        <f t="shared" si="23"/>
        <v>1393.46</v>
      </c>
      <c r="J95" s="28">
        <f t="shared" si="3"/>
        <v>103116.04000000001</v>
      </c>
      <c r="K95" s="29">
        <f t="shared" si="36"/>
        <v>134489.82</v>
      </c>
      <c r="L95" s="30">
        <f aca="true" t="shared" si="37" ref="L95:L105">+J95-K95</f>
        <v>-31373.78</v>
      </c>
      <c r="M95" s="27">
        <f t="shared" si="29"/>
        <v>-1547.7334171986743</v>
      </c>
      <c r="N95" s="19">
        <f t="shared" si="30"/>
        <v>-32921.51341719867</v>
      </c>
      <c r="O95" s="27">
        <f t="shared" si="31"/>
        <v>1637.91</v>
      </c>
      <c r="P95" s="27">
        <f t="shared" si="32"/>
        <v>121205.34000000001</v>
      </c>
      <c r="Q95" s="27">
        <f t="shared" si="33"/>
        <v>-13284.479999999996</v>
      </c>
      <c r="R95" s="19">
        <f t="shared" si="34"/>
        <v>-19637.033417198676</v>
      </c>
    </row>
    <row r="96" spans="1:18" ht="12.75">
      <c r="A96" s="3">
        <v>5</v>
      </c>
      <c r="B96" s="9">
        <f t="shared" si="5"/>
        <v>43221</v>
      </c>
      <c r="C96" s="125">
        <f aca="true" t="shared" si="38" ref="C96:D116">+C84</f>
        <v>43256</v>
      </c>
      <c r="D96" s="125">
        <f t="shared" si="38"/>
        <v>43271</v>
      </c>
      <c r="E96" s="20" t="s">
        <v>8</v>
      </c>
      <c r="F96" s="3">
        <v>9</v>
      </c>
      <c r="G96" s="194">
        <v>138</v>
      </c>
      <c r="H96" s="126">
        <f t="shared" si="28"/>
        <v>1817.43</v>
      </c>
      <c r="I96" s="126">
        <f t="shared" si="23"/>
        <v>1393.46</v>
      </c>
      <c r="J96" s="28">
        <f t="shared" si="3"/>
        <v>192297.48</v>
      </c>
      <c r="K96" s="29">
        <f t="shared" si="36"/>
        <v>250805.34</v>
      </c>
      <c r="L96" s="30">
        <f t="shared" si="37"/>
        <v>-58507.859999999986</v>
      </c>
      <c r="M96" s="27">
        <f t="shared" si="29"/>
        <v>-2886.313669911041</v>
      </c>
      <c r="N96" s="19">
        <f t="shared" si="30"/>
        <v>-61394.173669911026</v>
      </c>
      <c r="O96" s="27">
        <f t="shared" si="31"/>
        <v>1637.91</v>
      </c>
      <c r="P96" s="27">
        <f t="shared" si="32"/>
        <v>226031.58000000002</v>
      </c>
      <c r="Q96" s="27">
        <f t="shared" si="33"/>
        <v>-24773.75999999998</v>
      </c>
      <c r="R96" s="19">
        <f t="shared" si="34"/>
        <v>-36620.413669911046</v>
      </c>
    </row>
    <row r="97" spans="1:18" ht="12.75">
      <c r="A97" s="3">
        <v>6</v>
      </c>
      <c r="B97" s="9">
        <f t="shared" si="5"/>
        <v>43252</v>
      </c>
      <c r="C97" s="125">
        <f t="shared" si="38"/>
        <v>43286</v>
      </c>
      <c r="D97" s="125">
        <f t="shared" si="38"/>
        <v>43301</v>
      </c>
      <c r="E97" s="20" t="s">
        <v>8</v>
      </c>
      <c r="F97" s="3">
        <v>9</v>
      </c>
      <c r="G97" s="194">
        <v>149</v>
      </c>
      <c r="H97" s="126">
        <f t="shared" si="28"/>
        <v>1817.43</v>
      </c>
      <c r="I97" s="126">
        <f t="shared" si="23"/>
        <v>1393.46</v>
      </c>
      <c r="J97" s="28">
        <f t="shared" si="3"/>
        <v>207625.54</v>
      </c>
      <c r="K97" s="29">
        <f t="shared" si="36"/>
        <v>270797.07</v>
      </c>
      <c r="L97" s="39">
        <f t="shared" si="37"/>
        <v>-63171.53</v>
      </c>
      <c r="M97" s="27">
        <f t="shared" si="29"/>
        <v>-3116.3821508459796</v>
      </c>
      <c r="N97" s="19">
        <f t="shared" si="30"/>
        <v>-66287.91215084598</v>
      </c>
      <c r="O97" s="27">
        <f t="shared" si="31"/>
        <v>1637.91</v>
      </c>
      <c r="P97" s="27">
        <f t="shared" si="32"/>
        <v>244048.59000000003</v>
      </c>
      <c r="Q97" s="27">
        <f t="shared" si="33"/>
        <v>-26748.47999999998</v>
      </c>
      <c r="R97" s="19">
        <f t="shared" si="34"/>
        <v>-39539.432150846</v>
      </c>
    </row>
    <row r="98" spans="1:18" ht="12.75">
      <c r="A98" s="10">
        <v>7</v>
      </c>
      <c r="B98" s="9">
        <f t="shared" si="5"/>
        <v>43282</v>
      </c>
      <c r="C98" s="125">
        <f t="shared" si="38"/>
        <v>43315</v>
      </c>
      <c r="D98" s="125">
        <f t="shared" si="38"/>
        <v>43330</v>
      </c>
      <c r="E98" s="20" t="s">
        <v>8</v>
      </c>
      <c r="F98" s="3">
        <v>9</v>
      </c>
      <c r="G98" s="194">
        <v>160</v>
      </c>
      <c r="H98" s="126">
        <f t="shared" si="28"/>
        <v>1817.43</v>
      </c>
      <c r="I98" s="126">
        <f t="shared" si="23"/>
        <v>1393.46</v>
      </c>
      <c r="J98" s="28">
        <f t="shared" si="3"/>
        <v>222953.6</v>
      </c>
      <c r="K98" s="37">
        <f t="shared" si="36"/>
        <v>290788.8</v>
      </c>
      <c r="L98" s="39">
        <f t="shared" si="37"/>
        <v>-67835.19999999998</v>
      </c>
      <c r="M98" s="27">
        <f t="shared" si="29"/>
        <v>-3346.4506317809173</v>
      </c>
      <c r="N98" s="19">
        <f t="shared" si="30"/>
        <v>-71181.6506317809</v>
      </c>
      <c r="O98" s="27">
        <f t="shared" si="31"/>
        <v>1637.91</v>
      </c>
      <c r="P98" s="27">
        <f t="shared" si="32"/>
        <v>262065.6</v>
      </c>
      <c r="Q98" s="27">
        <f t="shared" si="33"/>
        <v>-28723.199999999983</v>
      </c>
      <c r="R98" s="19">
        <f t="shared" si="34"/>
        <v>-42458.450631780914</v>
      </c>
    </row>
    <row r="99" spans="1:18" ht="12.75">
      <c r="A99" s="3">
        <v>8</v>
      </c>
      <c r="B99" s="9">
        <f t="shared" si="5"/>
        <v>43313</v>
      </c>
      <c r="C99" s="125">
        <f t="shared" si="38"/>
        <v>43348</v>
      </c>
      <c r="D99" s="125">
        <f t="shared" si="38"/>
        <v>43363</v>
      </c>
      <c r="E99" s="20" t="s">
        <v>8</v>
      </c>
      <c r="F99" s="3">
        <v>9</v>
      </c>
      <c r="G99" s="194">
        <v>143</v>
      </c>
      <c r="H99" s="126">
        <f t="shared" si="28"/>
        <v>1817.43</v>
      </c>
      <c r="I99" s="126">
        <f t="shared" si="23"/>
        <v>1393.46</v>
      </c>
      <c r="J99" s="28">
        <f t="shared" si="3"/>
        <v>199264.78</v>
      </c>
      <c r="K99" s="37">
        <f t="shared" si="36"/>
        <v>259892.49000000002</v>
      </c>
      <c r="L99" s="39">
        <f t="shared" si="37"/>
        <v>-60627.71000000002</v>
      </c>
      <c r="M99" s="27">
        <f t="shared" si="29"/>
        <v>-2990.8902521541945</v>
      </c>
      <c r="N99" s="19">
        <f t="shared" si="30"/>
        <v>-63618.60025215422</v>
      </c>
      <c r="O99" s="27">
        <f t="shared" si="31"/>
        <v>1637.91</v>
      </c>
      <c r="P99" s="27">
        <f t="shared" si="32"/>
        <v>234221.13</v>
      </c>
      <c r="Q99" s="27">
        <f t="shared" si="33"/>
        <v>-25671.360000000015</v>
      </c>
      <c r="R99" s="19">
        <f t="shared" si="34"/>
        <v>-37947.2402521542</v>
      </c>
    </row>
    <row r="100" spans="1:18" ht="12.75">
      <c r="A100" s="3">
        <v>9</v>
      </c>
      <c r="B100" s="9">
        <f t="shared" si="5"/>
        <v>43344</v>
      </c>
      <c r="C100" s="125">
        <f t="shared" si="38"/>
        <v>43376</v>
      </c>
      <c r="D100" s="125">
        <f t="shared" si="38"/>
        <v>43391</v>
      </c>
      <c r="E100" s="20" t="s">
        <v>8</v>
      </c>
      <c r="F100" s="3">
        <v>9</v>
      </c>
      <c r="G100" s="194">
        <v>130</v>
      </c>
      <c r="H100" s="126">
        <f t="shared" si="28"/>
        <v>1817.43</v>
      </c>
      <c r="I100" s="126">
        <f t="shared" si="23"/>
        <v>1393.46</v>
      </c>
      <c r="J100" s="28">
        <f t="shared" si="3"/>
        <v>181149.80000000002</v>
      </c>
      <c r="K100" s="37">
        <f t="shared" si="36"/>
        <v>236265.9</v>
      </c>
      <c r="L100" s="39">
        <f t="shared" si="37"/>
        <v>-55116.09999999998</v>
      </c>
      <c r="M100" s="27">
        <f t="shared" si="29"/>
        <v>-2718.9911383219955</v>
      </c>
      <c r="N100" s="19">
        <f t="shared" si="30"/>
        <v>-57835.09113832197</v>
      </c>
      <c r="O100" s="27">
        <f t="shared" si="31"/>
        <v>1637.91</v>
      </c>
      <c r="P100" s="27">
        <f t="shared" si="32"/>
        <v>212928.30000000002</v>
      </c>
      <c r="Q100" s="27">
        <f t="shared" si="33"/>
        <v>-23337.599999999977</v>
      </c>
      <c r="R100" s="19">
        <f t="shared" si="34"/>
        <v>-34497.491138321995</v>
      </c>
    </row>
    <row r="101" spans="1:18" ht="12.75">
      <c r="A101" s="10">
        <v>10</v>
      </c>
      <c r="B101" s="9">
        <f t="shared" si="5"/>
        <v>43374</v>
      </c>
      <c r="C101" s="125">
        <f t="shared" si="38"/>
        <v>43409</v>
      </c>
      <c r="D101" s="125">
        <f t="shared" si="38"/>
        <v>43424</v>
      </c>
      <c r="E101" s="20" t="s">
        <v>8</v>
      </c>
      <c r="F101" s="3">
        <v>9</v>
      </c>
      <c r="G101" s="194">
        <v>117</v>
      </c>
      <c r="H101" s="126">
        <f t="shared" si="28"/>
        <v>1817.43</v>
      </c>
      <c r="I101" s="126">
        <f t="shared" si="23"/>
        <v>1393.46</v>
      </c>
      <c r="J101" s="28">
        <f t="shared" si="3"/>
        <v>163034.82</v>
      </c>
      <c r="K101" s="37">
        <f t="shared" si="36"/>
        <v>212639.31</v>
      </c>
      <c r="L101" s="39">
        <f t="shared" si="37"/>
        <v>-49604.48999999999</v>
      </c>
      <c r="M101" s="27">
        <f t="shared" si="29"/>
        <v>-2447.0920244897957</v>
      </c>
      <c r="N101" s="19">
        <f t="shared" si="30"/>
        <v>-52051.582024489784</v>
      </c>
      <c r="O101" s="27">
        <f t="shared" si="31"/>
        <v>1637.91</v>
      </c>
      <c r="P101" s="27">
        <f t="shared" si="32"/>
        <v>191635.47</v>
      </c>
      <c r="Q101" s="27">
        <f t="shared" si="33"/>
        <v>-21003.839999999997</v>
      </c>
      <c r="R101" s="19">
        <f t="shared" si="34"/>
        <v>-31047.742024489788</v>
      </c>
    </row>
    <row r="102" spans="1:18" ht="12.75">
      <c r="A102" s="3">
        <v>11</v>
      </c>
      <c r="B102" s="9">
        <f t="shared" si="5"/>
        <v>43405</v>
      </c>
      <c r="C102" s="125">
        <f t="shared" si="38"/>
        <v>43439</v>
      </c>
      <c r="D102" s="125">
        <f t="shared" si="38"/>
        <v>43454</v>
      </c>
      <c r="E102" s="20" t="s">
        <v>8</v>
      </c>
      <c r="F102" s="3">
        <v>9</v>
      </c>
      <c r="G102" s="194">
        <v>74</v>
      </c>
      <c r="H102" s="126">
        <f t="shared" si="28"/>
        <v>1817.43</v>
      </c>
      <c r="I102" s="126">
        <f t="shared" si="23"/>
        <v>1393.46</v>
      </c>
      <c r="J102" s="28">
        <f t="shared" si="3"/>
        <v>103116.04000000001</v>
      </c>
      <c r="K102" s="37">
        <f t="shared" si="36"/>
        <v>134489.82</v>
      </c>
      <c r="L102" s="39">
        <f t="shared" si="37"/>
        <v>-31373.78</v>
      </c>
      <c r="M102" s="27">
        <f t="shared" si="29"/>
        <v>-1547.7334171986743</v>
      </c>
      <c r="N102" s="19">
        <f t="shared" si="30"/>
        <v>-32921.51341719867</v>
      </c>
      <c r="O102" s="27">
        <f t="shared" si="31"/>
        <v>1637.91</v>
      </c>
      <c r="P102" s="27">
        <f t="shared" si="32"/>
        <v>121205.34000000001</v>
      </c>
      <c r="Q102" s="27">
        <f t="shared" si="33"/>
        <v>-13284.479999999996</v>
      </c>
      <c r="R102" s="19">
        <f t="shared" si="34"/>
        <v>-19637.033417198676</v>
      </c>
    </row>
    <row r="103" spans="1:18" s="34" customFormat="1" ht="12.75">
      <c r="A103" s="3">
        <v>12</v>
      </c>
      <c r="B103" s="44">
        <f t="shared" si="5"/>
        <v>43435</v>
      </c>
      <c r="C103" s="125">
        <f t="shared" si="38"/>
        <v>43468</v>
      </c>
      <c r="D103" s="125">
        <f t="shared" si="38"/>
        <v>43483</v>
      </c>
      <c r="E103" s="45" t="s">
        <v>8</v>
      </c>
      <c r="F103" s="42">
        <v>9</v>
      </c>
      <c r="G103" s="195">
        <v>76</v>
      </c>
      <c r="H103" s="126">
        <f t="shared" si="28"/>
        <v>1817.43</v>
      </c>
      <c r="I103" s="127">
        <f t="shared" si="23"/>
        <v>1393.46</v>
      </c>
      <c r="J103" s="46">
        <f t="shared" si="3"/>
        <v>105902.96</v>
      </c>
      <c r="K103" s="47">
        <f t="shared" si="36"/>
        <v>138124.68</v>
      </c>
      <c r="L103" s="48">
        <f t="shared" si="37"/>
        <v>-32221.719999999987</v>
      </c>
      <c r="M103" s="27">
        <f t="shared" si="29"/>
        <v>-1589.5640500959357</v>
      </c>
      <c r="N103" s="19">
        <f t="shared" si="30"/>
        <v>-33811.28405009592</v>
      </c>
      <c r="O103" s="27">
        <f t="shared" si="31"/>
        <v>1637.91</v>
      </c>
      <c r="P103" s="27">
        <f t="shared" si="32"/>
        <v>124481.16</v>
      </c>
      <c r="Q103" s="27">
        <f t="shared" si="33"/>
        <v>-13643.51999999999</v>
      </c>
      <c r="R103" s="19">
        <f t="shared" si="34"/>
        <v>-20167.76405009593</v>
      </c>
    </row>
    <row r="104" spans="1:18" ht="12.75">
      <c r="A104" s="10">
        <v>1</v>
      </c>
      <c r="B104" s="9">
        <f t="shared" si="5"/>
        <v>43101</v>
      </c>
      <c r="C104" s="124">
        <f t="shared" si="38"/>
        <v>43136</v>
      </c>
      <c r="D104" s="124">
        <f t="shared" si="38"/>
        <v>43151</v>
      </c>
      <c r="E104" s="60" t="s">
        <v>19</v>
      </c>
      <c r="F104" s="10">
        <v>9</v>
      </c>
      <c r="G104" s="194">
        <v>21</v>
      </c>
      <c r="H104" s="126">
        <f t="shared" si="28"/>
        <v>1817.43</v>
      </c>
      <c r="I104" s="126">
        <f t="shared" si="23"/>
        <v>1393.46</v>
      </c>
      <c r="J104" s="28">
        <f t="shared" si="3"/>
        <v>29262.66</v>
      </c>
      <c r="K104" s="29">
        <f t="shared" si="36"/>
        <v>38166.03</v>
      </c>
      <c r="L104" s="30">
        <f t="shared" si="37"/>
        <v>-8903.369999999999</v>
      </c>
      <c r="M104" s="27">
        <f t="shared" si="29"/>
        <v>-439.2216454212454</v>
      </c>
      <c r="N104" s="19">
        <f t="shared" si="30"/>
        <v>-9342.591645421244</v>
      </c>
      <c r="O104" s="27">
        <f t="shared" si="31"/>
        <v>1637.91</v>
      </c>
      <c r="P104" s="27">
        <f t="shared" si="32"/>
        <v>34396.11</v>
      </c>
      <c r="Q104" s="27">
        <f t="shared" si="33"/>
        <v>-3769.9199999999983</v>
      </c>
      <c r="R104" s="19">
        <f t="shared" si="34"/>
        <v>-5572.671645421246</v>
      </c>
    </row>
    <row r="105" spans="1:18" ht="12.75">
      <c r="A105" s="3">
        <v>2</v>
      </c>
      <c r="B105" s="9">
        <f t="shared" si="5"/>
        <v>43132</v>
      </c>
      <c r="C105" s="125">
        <f t="shared" si="38"/>
        <v>43164</v>
      </c>
      <c r="D105" s="125">
        <f t="shared" si="38"/>
        <v>43179</v>
      </c>
      <c r="E105" s="35" t="s">
        <v>19</v>
      </c>
      <c r="F105" s="3">
        <v>9</v>
      </c>
      <c r="G105" s="194">
        <v>12</v>
      </c>
      <c r="H105" s="126">
        <f t="shared" si="28"/>
        <v>1817.43</v>
      </c>
      <c r="I105" s="126">
        <f t="shared" si="23"/>
        <v>1393.46</v>
      </c>
      <c r="J105" s="28">
        <f t="shared" si="3"/>
        <v>16721.52</v>
      </c>
      <c r="K105" s="29">
        <f t="shared" si="36"/>
        <v>21809.16</v>
      </c>
      <c r="L105" s="30">
        <f t="shared" si="37"/>
        <v>-5087.639999999999</v>
      </c>
      <c r="M105" s="27">
        <f t="shared" si="29"/>
        <v>-250.9837973835688</v>
      </c>
      <c r="N105" s="19">
        <f t="shared" si="30"/>
        <v>-5338.623797383569</v>
      </c>
      <c r="O105" s="27">
        <f t="shared" si="31"/>
        <v>1637.91</v>
      </c>
      <c r="P105" s="27">
        <f t="shared" si="32"/>
        <v>19654.920000000002</v>
      </c>
      <c r="Q105" s="27">
        <f t="shared" si="33"/>
        <v>-2154.239999999998</v>
      </c>
      <c r="R105" s="19">
        <f t="shared" si="34"/>
        <v>-3184.3837973835707</v>
      </c>
    </row>
    <row r="106" spans="1:18" ht="12.75">
      <c r="A106" s="3">
        <v>3</v>
      </c>
      <c r="B106" s="9">
        <f t="shared" si="5"/>
        <v>43160</v>
      </c>
      <c r="C106" s="125">
        <f t="shared" si="38"/>
        <v>43194</v>
      </c>
      <c r="D106" s="125">
        <f t="shared" si="38"/>
        <v>43209</v>
      </c>
      <c r="E106" s="35" t="s">
        <v>19</v>
      </c>
      <c r="F106" s="3">
        <v>9</v>
      </c>
      <c r="G106" s="194">
        <v>22</v>
      </c>
      <c r="H106" s="126">
        <f t="shared" si="28"/>
        <v>1817.43</v>
      </c>
      <c r="I106" s="126">
        <f t="shared" si="23"/>
        <v>1393.46</v>
      </c>
      <c r="J106" s="28">
        <f t="shared" si="3"/>
        <v>30656.120000000003</v>
      </c>
      <c r="K106" s="29">
        <f t="shared" si="36"/>
        <v>39983.46</v>
      </c>
      <c r="L106" s="30">
        <f>+J106-K106</f>
        <v>-9327.339999999997</v>
      </c>
      <c r="M106" s="27">
        <f t="shared" si="29"/>
        <v>-460.13696186987613</v>
      </c>
      <c r="N106" s="19">
        <f t="shared" si="30"/>
        <v>-9787.476961869872</v>
      </c>
      <c r="O106" s="27">
        <f t="shared" si="31"/>
        <v>1637.91</v>
      </c>
      <c r="P106" s="27">
        <f t="shared" si="32"/>
        <v>36034.020000000004</v>
      </c>
      <c r="Q106" s="27">
        <f t="shared" si="33"/>
        <v>-3949.439999999995</v>
      </c>
      <c r="R106" s="19">
        <f t="shared" si="34"/>
        <v>-5838.036961869877</v>
      </c>
    </row>
    <row r="107" spans="1:18" ht="12.75">
      <c r="A107" s="10">
        <v>4</v>
      </c>
      <c r="B107" s="9">
        <f t="shared" si="5"/>
        <v>43191</v>
      </c>
      <c r="C107" s="125">
        <f t="shared" si="38"/>
        <v>43223</v>
      </c>
      <c r="D107" s="125">
        <f t="shared" si="38"/>
        <v>43238</v>
      </c>
      <c r="E107" s="20" t="s">
        <v>19</v>
      </c>
      <c r="F107" s="3">
        <v>9</v>
      </c>
      <c r="G107" s="194">
        <v>15</v>
      </c>
      <c r="H107" s="126">
        <f t="shared" si="28"/>
        <v>1817.43</v>
      </c>
      <c r="I107" s="126">
        <f t="shared" si="23"/>
        <v>1393.46</v>
      </c>
      <c r="J107" s="28">
        <f t="shared" si="3"/>
        <v>20901.9</v>
      </c>
      <c r="K107" s="29">
        <f t="shared" si="36"/>
        <v>27261.45</v>
      </c>
      <c r="L107" s="30">
        <f aca="true" t="shared" si="39" ref="L107:L115">+J107-K107</f>
        <v>-6359.549999999999</v>
      </c>
      <c r="M107" s="27">
        <f t="shared" si="29"/>
        <v>-313.729746729461</v>
      </c>
      <c r="N107" s="19">
        <f t="shared" si="30"/>
        <v>-6673.27974672946</v>
      </c>
      <c r="O107" s="27">
        <f t="shared" si="31"/>
        <v>1637.91</v>
      </c>
      <c r="P107" s="27">
        <f t="shared" si="32"/>
        <v>24568.65</v>
      </c>
      <c r="Q107" s="27">
        <f t="shared" si="33"/>
        <v>-2692.7999999999993</v>
      </c>
      <c r="R107" s="19">
        <f t="shared" si="34"/>
        <v>-3980.479746729461</v>
      </c>
    </row>
    <row r="108" spans="1:18" ht="12.75">
      <c r="A108" s="3">
        <v>5</v>
      </c>
      <c r="B108" s="9">
        <f t="shared" si="5"/>
        <v>43221</v>
      </c>
      <c r="C108" s="125">
        <f t="shared" si="38"/>
        <v>43256</v>
      </c>
      <c r="D108" s="125">
        <f t="shared" si="38"/>
        <v>43271</v>
      </c>
      <c r="E108" s="20" t="s">
        <v>19</v>
      </c>
      <c r="F108" s="3">
        <v>9</v>
      </c>
      <c r="G108" s="194">
        <v>23</v>
      </c>
      <c r="H108" s="126">
        <f t="shared" si="28"/>
        <v>1817.43</v>
      </c>
      <c r="I108" s="126">
        <f aca="true" t="shared" si="40" ref="I108:I127">$J$3</f>
        <v>1393.46</v>
      </c>
      <c r="J108" s="28">
        <f t="shared" si="3"/>
        <v>32049.58</v>
      </c>
      <c r="K108" s="29">
        <f t="shared" si="36"/>
        <v>41800.89</v>
      </c>
      <c r="L108" s="30">
        <f t="shared" si="39"/>
        <v>-9751.309999999998</v>
      </c>
      <c r="M108" s="27">
        <f t="shared" si="29"/>
        <v>-481.05227831850686</v>
      </c>
      <c r="N108" s="19">
        <f t="shared" si="30"/>
        <v>-10232.362278318504</v>
      </c>
      <c r="O108" s="27">
        <f t="shared" si="31"/>
        <v>1637.91</v>
      </c>
      <c r="P108" s="27">
        <f t="shared" si="32"/>
        <v>37671.93</v>
      </c>
      <c r="Q108" s="27">
        <f t="shared" si="33"/>
        <v>-4128.959999999999</v>
      </c>
      <c r="R108" s="19">
        <f t="shared" si="34"/>
        <v>-6103.402278318505</v>
      </c>
    </row>
    <row r="109" spans="1:18" ht="12.75">
      <c r="A109" s="3">
        <v>6</v>
      </c>
      <c r="B109" s="9">
        <f aca="true" t="shared" si="41" ref="B109:B148">DATE($R$1,A109,1)</f>
        <v>43252</v>
      </c>
      <c r="C109" s="125">
        <f t="shared" si="38"/>
        <v>43286</v>
      </c>
      <c r="D109" s="125">
        <f t="shared" si="38"/>
        <v>43301</v>
      </c>
      <c r="E109" s="20" t="s">
        <v>19</v>
      </c>
      <c r="F109" s="3">
        <v>9</v>
      </c>
      <c r="G109" s="194">
        <v>19</v>
      </c>
      <c r="H109" s="126">
        <f t="shared" si="28"/>
        <v>1817.43</v>
      </c>
      <c r="I109" s="126">
        <f t="shared" si="40"/>
        <v>1393.46</v>
      </c>
      <c r="J109" s="28">
        <f aca="true" t="shared" si="42" ref="J109:J148">+$G109*I109</f>
        <v>26475.74</v>
      </c>
      <c r="K109" s="29">
        <f t="shared" si="36"/>
        <v>34531.17</v>
      </c>
      <c r="L109" s="39">
        <f t="shared" si="39"/>
        <v>-8055.429999999997</v>
      </c>
      <c r="M109" s="27">
        <f t="shared" si="29"/>
        <v>-397.39101252398393</v>
      </c>
      <c r="N109" s="19">
        <f t="shared" si="30"/>
        <v>-8452.82101252398</v>
      </c>
      <c r="O109" s="27">
        <f t="shared" si="31"/>
        <v>1637.91</v>
      </c>
      <c r="P109" s="27">
        <f t="shared" si="32"/>
        <v>31120.29</v>
      </c>
      <c r="Q109" s="27">
        <f t="shared" si="33"/>
        <v>-3410.8799999999974</v>
      </c>
      <c r="R109" s="19">
        <f t="shared" si="34"/>
        <v>-5041.941012523983</v>
      </c>
    </row>
    <row r="110" spans="1:18" ht="12.75">
      <c r="A110" s="10">
        <v>7</v>
      </c>
      <c r="B110" s="9">
        <f t="shared" si="41"/>
        <v>43282</v>
      </c>
      <c r="C110" s="125">
        <f t="shared" si="38"/>
        <v>43315</v>
      </c>
      <c r="D110" s="125">
        <f t="shared" si="38"/>
        <v>43330</v>
      </c>
      <c r="E110" s="20" t="s">
        <v>19</v>
      </c>
      <c r="F110" s="3">
        <v>9</v>
      </c>
      <c r="G110" s="194">
        <v>19</v>
      </c>
      <c r="H110" s="126">
        <f t="shared" si="28"/>
        <v>1817.43</v>
      </c>
      <c r="I110" s="126">
        <f t="shared" si="40"/>
        <v>1393.46</v>
      </c>
      <c r="J110" s="28">
        <f t="shared" si="42"/>
        <v>26475.74</v>
      </c>
      <c r="K110" s="37">
        <f t="shared" si="36"/>
        <v>34531.17</v>
      </c>
      <c r="L110" s="39">
        <f t="shared" si="39"/>
        <v>-8055.429999999997</v>
      </c>
      <c r="M110" s="27">
        <f t="shared" si="29"/>
        <v>-397.39101252398393</v>
      </c>
      <c r="N110" s="19">
        <f t="shared" si="30"/>
        <v>-8452.82101252398</v>
      </c>
      <c r="O110" s="27">
        <f t="shared" si="31"/>
        <v>1637.91</v>
      </c>
      <c r="P110" s="27">
        <f t="shared" si="32"/>
        <v>31120.29</v>
      </c>
      <c r="Q110" s="27">
        <f t="shared" si="33"/>
        <v>-3410.8799999999974</v>
      </c>
      <c r="R110" s="19">
        <f t="shared" si="34"/>
        <v>-5041.941012523983</v>
      </c>
    </row>
    <row r="111" spans="1:18" ht="12.75">
      <c r="A111" s="3">
        <v>8</v>
      </c>
      <c r="B111" s="9">
        <f t="shared" si="41"/>
        <v>43313</v>
      </c>
      <c r="C111" s="125">
        <f t="shared" si="38"/>
        <v>43348</v>
      </c>
      <c r="D111" s="125">
        <f t="shared" si="38"/>
        <v>43363</v>
      </c>
      <c r="E111" s="20" t="s">
        <v>19</v>
      </c>
      <c r="F111" s="3">
        <v>9</v>
      </c>
      <c r="G111" s="194">
        <v>18</v>
      </c>
      <c r="H111" s="126">
        <f t="shared" si="28"/>
        <v>1817.43</v>
      </c>
      <c r="I111" s="126">
        <f t="shared" si="40"/>
        <v>1393.46</v>
      </c>
      <c r="J111" s="28">
        <f t="shared" si="42"/>
        <v>25082.28</v>
      </c>
      <c r="K111" s="37">
        <f t="shared" si="36"/>
        <v>32713.74</v>
      </c>
      <c r="L111" s="39">
        <f t="shared" si="39"/>
        <v>-7631.460000000003</v>
      </c>
      <c r="M111" s="27">
        <f t="shared" si="29"/>
        <v>-376.4756960753532</v>
      </c>
      <c r="N111" s="19">
        <f t="shared" si="30"/>
        <v>-8007.935696075356</v>
      </c>
      <c r="O111" s="27">
        <f t="shared" si="31"/>
        <v>1637.91</v>
      </c>
      <c r="P111" s="27">
        <f t="shared" si="32"/>
        <v>29482.38</v>
      </c>
      <c r="Q111" s="27">
        <f t="shared" si="33"/>
        <v>-3231.3600000000006</v>
      </c>
      <c r="R111" s="19">
        <f t="shared" si="34"/>
        <v>-4776.575696075355</v>
      </c>
    </row>
    <row r="112" spans="1:18" ht="12.75">
      <c r="A112" s="3">
        <v>9</v>
      </c>
      <c r="B112" s="9">
        <f t="shared" si="41"/>
        <v>43344</v>
      </c>
      <c r="C112" s="125">
        <f t="shared" si="38"/>
        <v>43376</v>
      </c>
      <c r="D112" s="125">
        <f t="shared" si="38"/>
        <v>43391</v>
      </c>
      <c r="E112" s="20" t="s">
        <v>19</v>
      </c>
      <c r="F112" s="3">
        <v>9</v>
      </c>
      <c r="G112" s="194">
        <v>13</v>
      </c>
      <c r="H112" s="126">
        <f t="shared" si="28"/>
        <v>1817.43</v>
      </c>
      <c r="I112" s="126">
        <f t="shared" si="40"/>
        <v>1393.46</v>
      </c>
      <c r="J112" s="28">
        <f t="shared" si="42"/>
        <v>18114.98</v>
      </c>
      <c r="K112" s="37">
        <f t="shared" si="36"/>
        <v>23626.59</v>
      </c>
      <c r="L112" s="39">
        <f t="shared" si="39"/>
        <v>-5511.610000000001</v>
      </c>
      <c r="M112" s="27">
        <f t="shared" si="29"/>
        <v>-271.89911383219953</v>
      </c>
      <c r="N112" s="19">
        <f t="shared" si="30"/>
        <v>-5783.5091138322005</v>
      </c>
      <c r="O112" s="27">
        <f t="shared" si="31"/>
        <v>1637.91</v>
      </c>
      <c r="P112" s="27">
        <f t="shared" si="32"/>
        <v>21292.83</v>
      </c>
      <c r="Q112" s="27">
        <f t="shared" si="33"/>
        <v>-2333.7599999999984</v>
      </c>
      <c r="R112" s="19">
        <f t="shared" si="34"/>
        <v>-3449.749113832202</v>
      </c>
    </row>
    <row r="113" spans="1:18" ht="12.75">
      <c r="A113" s="10">
        <v>10</v>
      </c>
      <c r="B113" s="9">
        <f t="shared" si="41"/>
        <v>43374</v>
      </c>
      <c r="C113" s="125">
        <f t="shared" si="38"/>
        <v>43409</v>
      </c>
      <c r="D113" s="125">
        <f t="shared" si="38"/>
        <v>43424</v>
      </c>
      <c r="E113" s="20" t="s">
        <v>19</v>
      </c>
      <c r="F113" s="3">
        <v>9</v>
      </c>
      <c r="G113" s="194">
        <v>15</v>
      </c>
      <c r="H113" s="126">
        <f t="shared" si="28"/>
        <v>1817.43</v>
      </c>
      <c r="I113" s="126">
        <f t="shared" si="40"/>
        <v>1393.46</v>
      </c>
      <c r="J113" s="28">
        <f t="shared" si="42"/>
        <v>20901.9</v>
      </c>
      <c r="K113" s="37">
        <f t="shared" si="36"/>
        <v>27261.45</v>
      </c>
      <c r="L113" s="39">
        <f t="shared" si="39"/>
        <v>-6359.549999999999</v>
      </c>
      <c r="M113" s="27">
        <f t="shared" si="29"/>
        <v>-313.729746729461</v>
      </c>
      <c r="N113" s="19">
        <f t="shared" si="30"/>
        <v>-6673.27974672946</v>
      </c>
      <c r="O113" s="27">
        <f t="shared" si="31"/>
        <v>1637.91</v>
      </c>
      <c r="P113" s="27">
        <f t="shared" si="32"/>
        <v>24568.65</v>
      </c>
      <c r="Q113" s="27">
        <f t="shared" si="33"/>
        <v>-2692.7999999999993</v>
      </c>
      <c r="R113" s="19">
        <f t="shared" si="34"/>
        <v>-3980.479746729461</v>
      </c>
    </row>
    <row r="114" spans="1:18" ht="12.75">
      <c r="A114" s="3">
        <v>11</v>
      </c>
      <c r="B114" s="9">
        <f t="shared" si="41"/>
        <v>43405</v>
      </c>
      <c r="C114" s="125">
        <f t="shared" si="38"/>
        <v>43439</v>
      </c>
      <c r="D114" s="125">
        <f t="shared" si="38"/>
        <v>43454</v>
      </c>
      <c r="E114" s="20" t="s">
        <v>19</v>
      </c>
      <c r="F114" s="3">
        <v>9</v>
      </c>
      <c r="G114" s="194">
        <v>22</v>
      </c>
      <c r="H114" s="126">
        <f t="shared" si="28"/>
        <v>1817.43</v>
      </c>
      <c r="I114" s="126">
        <f t="shared" si="40"/>
        <v>1393.46</v>
      </c>
      <c r="J114" s="28">
        <f t="shared" si="42"/>
        <v>30656.120000000003</v>
      </c>
      <c r="K114" s="37">
        <f t="shared" si="36"/>
        <v>39983.46</v>
      </c>
      <c r="L114" s="39">
        <f t="shared" si="39"/>
        <v>-9327.339999999997</v>
      </c>
      <c r="M114" s="27">
        <f t="shared" si="29"/>
        <v>-460.13696186987613</v>
      </c>
      <c r="N114" s="19">
        <f t="shared" si="30"/>
        <v>-9787.476961869872</v>
      </c>
      <c r="O114" s="27">
        <f t="shared" si="31"/>
        <v>1637.91</v>
      </c>
      <c r="P114" s="27">
        <f t="shared" si="32"/>
        <v>36034.020000000004</v>
      </c>
      <c r="Q114" s="27">
        <f t="shared" si="33"/>
        <v>-3949.439999999995</v>
      </c>
      <c r="R114" s="19">
        <f t="shared" si="34"/>
        <v>-5838.036961869877</v>
      </c>
    </row>
    <row r="115" spans="1:18" s="34" customFormat="1" ht="12.75">
      <c r="A115" s="3">
        <v>12</v>
      </c>
      <c r="B115" s="44">
        <f t="shared" si="41"/>
        <v>43435</v>
      </c>
      <c r="C115" s="136">
        <f t="shared" si="38"/>
        <v>43468</v>
      </c>
      <c r="D115" s="136">
        <f t="shared" si="38"/>
        <v>43483</v>
      </c>
      <c r="E115" s="45" t="s">
        <v>19</v>
      </c>
      <c r="F115" s="42">
        <v>9</v>
      </c>
      <c r="G115" s="195">
        <v>20</v>
      </c>
      <c r="H115" s="126">
        <f t="shared" si="28"/>
        <v>1817.43</v>
      </c>
      <c r="I115" s="127">
        <f t="shared" si="40"/>
        <v>1393.46</v>
      </c>
      <c r="J115" s="46">
        <f t="shared" si="42"/>
        <v>27869.2</v>
      </c>
      <c r="K115" s="47">
        <f t="shared" si="36"/>
        <v>36348.6</v>
      </c>
      <c r="L115" s="48">
        <f t="shared" si="39"/>
        <v>-8479.399999999998</v>
      </c>
      <c r="M115" s="27">
        <f t="shared" si="29"/>
        <v>-418.30632897261466</v>
      </c>
      <c r="N115" s="19">
        <f t="shared" si="30"/>
        <v>-8897.706328972612</v>
      </c>
      <c r="O115" s="27">
        <f t="shared" si="31"/>
        <v>1637.91</v>
      </c>
      <c r="P115" s="27">
        <f t="shared" si="32"/>
        <v>32758.2</v>
      </c>
      <c r="Q115" s="27">
        <f t="shared" si="33"/>
        <v>-3590.399999999998</v>
      </c>
      <c r="R115" s="19">
        <f t="shared" si="34"/>
        <v>-5307.306328972614</v>
      </c>
    </row>
    <row r="116" spans="1:18" ht="12.75">
      <c r="A116" s="10">
        <v>1</v>
      </c>
      <c r="B116" s="9">
        <f t="shared" si="41"/>
        <v>43101</v>
      </c>
      <c r="C116" s="125">
        <f t="shared" si="38"/>
        <v>43136</v>
      </c>
      <c r="D116" s="125">
        <f t="shared" si="38"/>
        <v>43151</v>
      </c>
      <c r="E116" s="60" t="s">
        <v>13</v>
      </c>
      <c r="F116" s="10">
        <v>9</v>
      </c>
      <c r="G116" s="194">
        <v>1275</v>
      </c>
      <c r="H116" s="126">
        <f t="shared" si="28"/>
        <v>1817.43</v>
      </c>
      <c r="I116" s="126">
        <f t="shared" si="40"/>
        <v>1393.46</v>
      </c>
      <c r="J116" s="28">
        <f t="shared" si="42"/>
        <v>1776661.5</v>
      </c>
      <c r="K116" s="29">
        <f t="shared" si="36"/>
        <v>2317223.25</v>
      </c>
      <c r="L116" s="30">
        <f>+J116-K116</f>
        <v>-540561.75</v>
      </c>
      <c r="M116" s="27">
        <f t="shared" si="29"/>
        <v>-26667.028472004185</v>
      </c>
      <c r="N116" s="19">
        <f t="shared" si="30"/>
        <v>-567228.7784720042</v>
      </c>
      <c r="O116" s="27">
        <f t="shared" si="31"/>
        <v>1637.91</v>
      </c>
      <c r="P116" s="27">
        <f t="shared" si="32"/>
        <v>2088335.25</v>
      </c>
      <c r="Q116" s="27">
        <f t="shared" si="33"/>
        <v>-228888</v>
      </c>
      <c r="R116" s="19">
        <f t="shared" si="34"/>
        <v>-338340.7784720042</v>
      </c>
    </row>
    <row r="117" spans="1:18" ht="12.75">
      <c r="A117" s="3">
        <v>2</v>
      </c>
      <c r="B117" s="9">
        <f t="shared" si="41"/>
        <v>43132</v>
      </c>
      <c r="C117" s="125">
        <f aca="true" t="shared" si="43" ref="C117:D139">+C105</f>
        <v>43164</v>
      </c>
      <c r="D117" s="125">
        <f t="shared" si="43"/>
        <v>43179</v>
      </c>
      <c r="E117" s="35" t="s">
        <v>13</v>
      </c>
      <c r="F117" s="3">
        <v>9</v>
      </c>
      <c r="G117" s="194">
        <v>863</v>
      </c>
      <c r="H117" s="126">
        <f t="shared" si="28"/>
        <v>1817.43</v>
      </c>
      <c r="I117" s="126">
        <f t="shared" si="40"/>
        <v>1393.46</v>
      </c>
      <c r="J117" s="28">
        <f t="shared" si="42"/>
        <v>1202555.98</v>
      </c>
      <c r="K117" s="29">
        <f t="shared" si="36"/>
        <v>1568442.09</v>
      </c>
      <c r="L117" s="30">
        <f>+J117-K117</f>
        <v>-365886.1100000001</v>
      </c>
      <c r="M117" s="27">
        <f t="shared" si="29"/>
        <v>-18049.918095168323</v>
      </c>
      <c r="N117" s="19">
        <f t="shared" si="30"/>
        <v>-383936.0280951684</v>
      </c>
      <c r="O117" s="27">
        <f t="shared" si="31"/>
        <v>1637.91</v>
      </c>
      <c r="P117" s="27">
        <f t="shared" si="32"/>
        <v>1413516.33</v>
      </c>
      <c r="Q117" s="27">
        <f t="shared" si="33"/>
        <v>-154925.76</v>
      </c>
      <c r="R117" s="19">
        <f t="shared" si="34"/>
        <v>-229010.2680951684</v>
      </c>
    </row>
    <row r="118" spans="1:18" ht="12.75">
      <c r="A118" s="3">
        <v>3</v>
      </c>
      <c r="B118" s="9">
        <f t="shared" si="41"/>
        <v>43160</v>
      </c>
      <c r="C118" s="125">
        <f t="shared" si="43"/>
        <v>43194</v>
      </c>
      <c r="D118" s="125">
        <f t="shared" si="43"/>
        <v>43209</v>
      </c>
      <c r="E118" s="35" t="s">
        <v>13</v>
      </c>
      <c r="F118" s="3">
        <v>9</v>
      </c>
      <c r="G118" s="194">
        <v>709</v>
      </c>
      <c r="H118" s="126">
        <f t="shared" si="28"/>
        <v>1817.43</v>
      </c>
      <c r="I118" s="126">
        <f t="shared" si="40"/>
        <v>1393.46</v>
      </c>
      <c r="J118" s="28">
        <f t="shared" si="42"/>
        <v>987963.14</v>
      </c>
      <c r="K118" s="29">
        <f t="shared" si="36"/>
        <v>1288557.87</v>
      </c>
      <c r="L118" s="30">
        <f>+J118-K118</f>
        <v>-300594.7300000001</v>
      </c>
      <c r="M118" s="27">
        <f t="shared" si="29"/>
        <v>-14828.95936207919</v>
      </c>
      <c r="N118" s="19">
        <f t="shared" si="30"/>
        <v>-315423.6893620793</v>
      </c>
      <c r="O118" s="27">
        <f t="shared" si="31"/>
        <v>1637.91</v>
      </c>
      <c r="P118" s="27">
        <f t="shared" si="32"/>
        <v>1161278.19</v>
      </c>
      <c r="Q118" s="27">
        <f t="shared" si="33"/>
        <v>-127279.68000000017</v>
      </c>
      <c r="R118" s="19">
        <f t="shared" si="34"/>
        <v>-188144.00936207914</v>
      </c>
    </row>
    <row r="119" spans="1:18" ht="12.75">
      <c r="A119" s="10">
        <v>4</v>
      </c>
      <c r="B119" s="9">
        <f t="shared" si="41"/>
        <v>43191</v>
      </c>
      <c r="C119" s="125">
        <f t="shared" si="43"/>
        <v>43223</v>
      </c>
      <c r="D119" s="125">
        <f t="shared" si="43"/>
        <v>43238</v>
      </c>
      <c r="E119" s="20" t="s">
        <v>13</v>
      </c>
      <c r="F119" s="3">
        <v>9</v>
      </c>
      <c r="G119" s="194">
        <v>497</v>
      </c>
      <c r="H119" s="126">
        <f t="shared" si="28"/>
        <v>1817.43</v>
      </c>
      <c r="I119" s="126">
        <f t="shared" si="40"/>
        <v>1393.46</v>
      </c>
      <c r="J119" s="28">
        <f t="shared" si="42"/>
        <v>692549.62</v>
      </c>
      <c r="K119" s="29">
        <f t="shared" si="36"/>
        <v>903262.7100000001</v>
      </c>
      <c r="L119" s="30">
        <f aca="true" t="shared" si="44" ref="L119:L127">+J119-K119</f>
        <v>-210713.09000000008</v>
      </c>
      <c r="M119" s="27">
        <f t="shared" si="29"/>
        <v>-10394.912274969474</v>
      </c>
      <c r="N119" s="19">
        <f t="shared" si="30"/>
        <v>-221108.00227496956</v>
      </c>
      <c r="O119" s="27">
        <f t="shared" si="31"/>
        <v>1637.91</v>
      </c>
      <c r="P119" s="27">
        <f t="shared" si="32"/>
        <v>814041.27</v>
      </c>
      <c r="Q119" s="27">
        <f t="shared" si="33"/>
        <v>-89221.44000000006</v>
      </c>
      <c r="R119" s="19">
        <f t="shared" si="34"/>
        <v>-131886.5622749695</v>
      </c>
    </row>
    <row r="120" spans="1:18" ht="12.75">
      <c r="A120" s="3">
        <v>5</v>
      </c>
      <c r="B120" s="9">
        <f t="shared" si="41"/>
        <v>43221</v>
      </c>
      <c r="C120" s="125">
        <f t="shared" si="43"/>
        <v>43256</v>
      </c>
      <c r="D120" s="125">
        <f t="shared" si="43"/>
        <v>43271</v>
      </c>
      <c r="E120" s="20" t="s">
        <v>13</v>
      </c>
      <c r="F120" s="3">
        <v>9</v>
      </c>
      <c r="G120" s="194">
        <v>797</v>
      </c>
      <c r="H120" s="126">
        <f t="shared" si="28"/>
        <v>1817.43</v>
      </c>
      <c r="I120" s="126">
        <f t="shared" si="40"/>
        <v>1393.46</v>
      </c>
      <c r="J120" s="28">
        <f t="shared" si="42"/>
        <v>1110587.62</v>
      </c>
      <c r="K120" s="29">
        <f t="shared" si="36"/>
        <v>1448491.71</v>
      </c>
      <c r="L120" s="30">
        <f t="shared" si="44"/>
        <v>-337904.08999999985</v>
      </c>
      <c r="M120" s="27">
        <f t="shared" si="29"/>
        <v>-16669.507209558695</v>
      </c>
      <c r="N120" s="19">
        <f t="shared" si="30"/>
        <v>-354573.59720955853</v>
      </c>
      <c r="O120" s="27">
        <f t="shared" si="31"/>
        <v>1637.91</v>
      </c>
      <c r="P120" s="27">
        <f t="shared" si="32"/>
        <v>1305414.27</v>
      </c>
      <c r="Q120" s="27">
        <f t="shared" si="33"/>
        <v>-143077.43999999994</v>
      </c>
      <c r="R120" s="19">
        <f t="shared" si="34"/>
        <v>-211496.1572095586</v>
      </c>
    </row>
    <row r="121" spans="1:18" ht="12.75">
      <c r="A121" s="3">
        <v>6</v>
      </c>
      <c r="B121" s="9">
        <f t="shared" si="41"/>
        <v>43252</v>
      </c>
      <c r="C121" s="125">
        <f t="shared" si="43"/>
        <v>43286</v>
      </c>
      <c r="D121" s="125">
        <f t="shared" si="43"/>
        <v>43301</v>
      </c>
      <c r="E121" s="20" t="s">
        <v>13</v>
      </c>
      <c r="F121" s="3">
        <v>9</v>
      </c>
      <c r="G121" s="194">
        <v>865</v>
      </c>
      <c r="H121" s="126">
        <f t="shared" si="28"/>
        <v>1817.43</v>
      </c>
      <c r="I121" s="126">
        <f t="shared" si="40"/>
        <v>1393.46</v>
      </c>
      <c r="J121" s="28">
        <f t="shared" si="42"/>
        <v>1205342.9000000001</v>
      </c>
      <c r="K121" s="29">
        <f t="shared" si="36"/>
        <v>1572076.95</v>
      </c>
      <c r="L121" s="39">
        <f t="shared" si="44"/>
        <v>-366734.0499999998</v>
      </c>
      <c r="M121" s="27">
        <f t="shared" si="29"/>
        <v>-18091.748728065584</v>
      </c>
      <c r="N121" s="19">
        <f t="shared" si="30"/>
        <v>-384825.7987280654</v>
      </c>
      <c r="O121" s="27">
        <f t="shared" si="31"/>
        <v>1637.91</v>
      </c>
      <c r="P121" s="27">
        <f t="shared" si="32"/>
        <v>1416792.1500000001</v>
      </c>
      <c r="Q121" s="27">
        <f t="shared" si="33"/>
        <v>-155284.7999999998</v>
      </c>
      <c r="R121" s="19">
        <f t="shared" si="34"/>
        <v>-229540.99872806558</v>
      </c>
    </row>
    <row r="122" spans="1:18" ht="12.75">
      <c r="A122" s="10">
        <v>7</v>
      </c>
      <c r="B122" s="9">
        <f t="shared" si="41"/>
        <v>43282</v>
      </c>
      <c r="C122" s="125">
        <f t="shared" si="43"/>
        <v>43315</v>
      </c>
      <c r="D122" s="125">
        <f t="shared" si="43"/>
        <v>43330</v>
      </c>
      <c r="E122" s="20" t="s">
        <v>13</v>
      </c>
      <c r="F122" s="3">
        <v>9</v>
      </c>
      <c r="G122" s="194">
        <v>928</v>
      </c>
      <c r="H122" s="126">
        <f t="shared" si="28"/>
        <v>1817.43</v>
      </c>
      <c r="I122" s="126">
        <f t="shared" si="40"/>
        <v>1393.46</v>
      </c>
      <c r="J122" s="28">
        <f t="shared" si="42"/>
        <v>1293130.8800000001</v>
      </c>
      <c r="K122" s="37">
        <f t="shared" si="36"/>
        <v>1686575.04</v>
      </c>
      <c r="L122" s="39">
        <f t="shared" si="44"/>
        <v>-393444.1599999999</v>
      </c>
      <c r="M122" s="27">
        <f t="shared" si="29"/>
        <v>-19409.41366432932</v>
      </c>
      <c r="N122" s="19">
        <f t="shared" si="30"/>
        <v>-412853.57366432925</v>
      </c>
      <c r="O122" s="27">
        <f t="shared" si="31"/>
        <v>1637.91</v>
      </c>
      <c r="P122" s="27">
        <f t="shared" si="32"/>
        <v>1519980.48</v>
      </c>
      <c r="Q122" s="27">
        <f t="shared" si="33"/>
        <v>-166594.56000000006</v>
      </c>
      <c r="R122" s="19">
        <f t="shared" si="34"/>
        <v>-246259.0136643292</v>
      </c>
    </row>
    <row r="123" spans="1:18" ht="12.75">
      <c r="A123" s="3">
        <v>8</v>
      </c>
      <c r="B123" s="9">
        <f t="shared" si="41"/>
        <v>43313</v>
      </c>
      <c r="C123" s="125">
        <f t="shared" si="43"/>
        <v>43348</v>
      </c>
      <c r="D123" s="125">
        <f t="shared" si="43"/>
        <v>43363</v>
      </c>
      <c r="E123" s="20" t="s">
        <v>13</v>
      </c>
      <c r="F123" s="3">
        <v>9</v>
      </c>
      <c r="G123" s="194">
        <v>837</v>
      </c>
      <c r="H123" s="126">
        <f t="shared" si="28"/>
        <v>1817.43</v>
      </c>
      <c r="I123" s="126">
        <f t="shared" si="40"/>
        <v>1393.46</v>
      </c>
      <c r="J123" s="28">
        <f t="shared" si="42"/>
        <v>1166326.02</v>
      </c>
      <c r="K123" s="37">
        <f t="shared" si="36"/>
        <v>1521188.9100000001</v>
      </c>
      <c r="L123" s="39">
        <f t="shared" si="44"/>
        <v>-354862.89000000013</v>
      </c>
      <c r="M123" s="27">
        <f t="shared" si="29"/>
        <v>-17506.119867503923</v>
      </c>
      <c r="N123" s="19">
        <f t="shared" si="30"/>
        <v>-372369.00986750406</v>
      </c>
      <c r="O123" s="27">
        <f t="shared" si="31"/>
        <v>1637.91</v>
      </c>
      <c r="P123" s="27">
        <f t="shared" si="32"/>
        <v>1370930.6700000002</v>
      </c>
      <c r="Q123" s="27">
        <f t="shared" si="33"/>
        <v>-150258.24</v>
      </c>
      <c r="R123" s="19">
        <f t="shared" si="34"/>
        <v>-222110.76986750407</v>
      </c>
    </row>
    <row r="124" spans="1:18" ht="12.75">
      <c r="A124" s="3">
        <v>9</v>
      </c>
      <c r="B124" s="9">
        <f t="shared" si="41"/>
        <v>43344</v>
      </c>
      <c r="C124" s="125">
        <f t="shared" si="43"/>
        <v>43376</v>
      </c>
      <c r="D124" s="125">
        <f t="shared" si="43"/>
        <v>43391</v>
      </c>
      <c r="E124" s="20" t="s">
        <v>13</v>
      </c>
      <c r="F124" s="3">
        <v>9</v>
      </c>
      <c r="G124" s="194">
        <v>801</v>
      </c>
      <c r="H124" s="126">
        <f t="shared" si="28"/>
        <v>1817.43</v>
      </c>
      <c r="I124" s="126">
        <f t="shared" si="40"/>
        <v>1393.46</v>
      </c>
      <c r="J124" s="28">
        <f t="shared" si="42"/>
        <v>1116161.46</v>
      </c>
      <c r="K124" s="37">
        <f t="shared" si="36"/>
        <v>1455761.43</v>
      </c>
      <c r="L124" s="39">
        <f t="shared" si="44"/>
        <v>-339599.97</v>
      </c>
      <c r="M124" s="27">
        <f t="shared" si="29"/>
        <v>-16753.168475353217</v>
      </c>
      <c r="N124" s="19">
        <f t="shared" si="30"/>
        <v>-356353.1384753532</v>
      </c>
      <c r="O124" s="27">
        <f t="shared" si="31"/>
        <v>1637.91</v>
      </c>
      <c r="P124" s="27">
        <f t="shared" si="32"/>
        <v>1311965.9100000001</v>
      </c>
      <c r="Q124" s="27">
        <f t="shared" si="33"/>
        <v>-143795.5199999998</v>
      </c>
      <c r="R124" s="19">
        <f t="shared" si="34"/>
        <v>-212557.6184753534</v>
      </c>
    </row>
    <row r="125" spans="1:18" ht="12.75">
      <c r="A125" s="10">
        <v>10</v>
      </c>
      <c r="B125" s="9">
        <f t="shared" si="41"/>
        <v>43374</v>
      </c>
      <c r="C125" s="125">
        <f t="shared" si="43"/>
        <v>43409</v>
      </c>
      <c r="D125" s="125">
        <f t="shared" si="43"/>
        <v>43424</v>
      </c>
      <c r="E125" s="20" t="s">
        <v>13</v>
      </c>
      <c r="F125" s="3">
        <v>9</v>
      </c>
      <c r="G125" s="194">
        <v>671</v>
      </c>
      <c r="H125" s="126">
        <f t="shared" si="28"/>
        <v>1817.43</v>
      </c>
      <c r="I125" s="126">
        <f t="shared" si="40"/>
        <v>1393.46</v>
      </c>
      <c r="J125" s="28">
        <f t="shared" si="42"/>
        <v>935011.66</v>
      </c>
      <c r="K125" s="37">
        <f t="shared" si="36"/>
        <v>1219495.53</v>
      </c>
      <c r="L125" s="39">
        <f t="shared" si="44"/>
        <v>-284483.87</v>
      </c>
      <c r="M125" s="27">
        <f t="shared" si="29"/>
        <v>-14034.177337031222</v>
      </c>
      <c r="N125" s="19">
        <f t="shared" si="30"/>
        <v>-298518.0473370312</v>
      </c>
      <c r="O125" s="27">
        <f t="shared" si="31"/>
        <v>1637.91</v>
      </c>
      <c r="P125" s="27">
        <f t="shared" si="32"/>
        <v>1099037.61</v>
      </c>
      <c r="Q125" s="27">
        <f t="shared" si="33"/>
        <v>-120457.91999999993</v>
      </c>
      <c r="R125" s="19">
        <f t="shared" si="34"/>
        <v>-178060.1273370313</v>
      </c>
    </row>
    <row r="126" spans="1:18" ht="12.75">
      <c r="A126" s="3">
        <v>11</v>
      </c>
      <c r="B126" s="9">
        <f t="shared" si="41"/>
        <v>43405</v>
      </c>
      <c r="C126" s="125">
        <f t="shared" si="43"/>
        <v>43439</v>
      </c>
      <c r="D126" s="125">
        <f t="shared" si="43"/>
        <v>43454</v>
      </c>
      <c r="E126" s="20" t="s">
        <v>13</v>
      </c>
      <c r="F126" s="3">
        <v>9</v>
      </c>
      <c r="G126" s="194">
        <v>897</v>
      </c>
      <c r="H126" s="126">
        <f t="shared" si="28"/>
        <v>1817.43</v>
      </c>
      <c r="I126" s="126">
        <f t="shared" si="40"/>
        <v>1393.46</v>
      </c>
      <c r="J126" s="28">
        <f t="shared" si="42"/>
        <v>1249933.62</v>
      </c>
      <c r="K126" s="37">
        <f t="shared" si="36"/>
        <v>1630234.71</v>
      </c>
      <c r="L126" s="39">
        <f t="shared" si="44"/>
        <v>-380301.08999999985</v>
      </c>
      <c r="M126" s="27">
        <f t="shared" si="29"/>
        <v>-18761.038854421768</v>
      </c>
      <c r="N126" s="19">
        <f t="shared" si="30"/>
        <v>-399062.1288544216</v>
      </c>
      <c r="O126" s="27">
        <f t="shared" si="31"/>
        <v>1637.91</v>
      </c>
      <c r="P126" s="27">
        <f t="shared" si="32"/>
        <v>1469205.27</v>
      </c>
      <c r="Q126" s="27">
        <f t="shared" si="33"/>
        <v>-161029.43999999994</v>
      </c>
      <c r="R126" s="19">
        <f t="shared" si="34"/>
        <v>-238032.68885442166</v>
      </c>
    </row>
    <row r="127" spans="1:18" s="34" customFormat="1" ht="12.75">
      <c r="A127" s="3">
        <v>12</v>
      </c>
      <c r="B127" s="44">
        <f t="shared" si="41"/>
        <v>43435</v>
      </c>
      <c r="C127" s="136">
        <f t="shared" si="43"/>
        <v>43468</v>
      </c>
      <c r="D127" s="136">
        <f t="shared" si="43"/>
        <v>43483</v>
      </c>
      <c r="E127" s="45" t="s">
        <v>13</v>
      </c>
      <c r="F127" s="42">
        <v>9</v>
      </c>
      <c r="G127" s="195">
        <v>879</v>
      </c>
      <c r="H127" s="126">
        <f t="shared" si="28"/>
        <v>1817.43</v>
      </c>
      <c r="I127" s="127">
        <f t="shared" si="40"/>
        <v>1393.46</v>
      </c>
      <c r="J127" s="46">
        <f t="shared" si="42"/>
        <v>1224851.34</v>
      </c>
      <c r="K127" s="47">
        <f t="shared" si="36"/>
        <v>1597520.97</v>
      </c>
      <c r="L127" s="48">
        <f t="shared" si="44"/>
        <v>-372669.6299999999</v>
      </c>
      <c r="M127" s="27">
        <f t="shared" si="29"/>
        <v>-18384.563158346416</v>
      </c>
      <c r="N127" s="19">
        <f t="shared" si="30"/>
        <v>-391054.1931583463</v>
      </c>
      <c r="O127" s="27">
        <f t="shared" si="31"/>
        <v>1637.91</v>
      </c>
      <c r="P127" s="27">
        <f t="shared" si="32"/>
        <v>1439722.8900000001</v>
      </c>
      <c r="Q127" s="27">
        <f t="shared" si="33"/>
        <v>-157798.07999999984</v>
      </c>
      <c r="R127" s="19">
        <f t="shared" si="34"/>
        <v>-233256.11315834644</v>
      </c>
    </row>
    <row r="128" spans="1:18" ht="12.75">
      <c r="A128" s="10">
        <v>1</v>
      </c>
      <c r="B128" s="9">
        <f t="shared" si="41"/>
        <v>43101</v>
      </c>
      <c r="C128" s="125">
        <f t="shared" si="43"/>
        <v>43136</v>
      </c>
      <c r="D128" s="125">
        <f t="shared" si="43"/>
        <v>43151</v>
      </c>
      <c r="E128" s="60" t="s">
        <v>15</v>
      </c>
      <c r="F128" s="10">
        <v>9</v>
      </c>
      <c r="G128" s="194">
        <v>9</v>
      </c>
      <c r="H128" s="126">
        <f t="shared" si="28"/>
        <v>1817.43</v>
      </c>
      <c r="I128" s="126">
        <f aca="true" t="shared" si="45" ref="I128:I147">$J$3</f>
        <v>1393.46</v>
      </c>
      <c r="J128" s="28">
        <f t="shared" si="42"/>
        <v>12541.14</v>
      </c>
      <c r="K128" s="29">
        <f t="shared" si="36"/>
        <v>16356.87</v>
      </c>
      <c r="L128" s="30">
        <f>+J128-K128</f>
        <v>-3815.7300000000014</v>
      </c>
      <c r="M128" s="27">
        <f t="shared" si="29"/>
        <v>-188.2378480376766</v>
      </c>
      <c r="N128" s="19">
        <f t="shared" si="30"/>
        <v>-4003.967848037678</v>
      </c>
      <c r="O128" s="27">
        <f t="shared" si="31"/>
        <v>1637.91</v>
      </c>
      <c r="P128" s="27">
        <f t="shared" si="32"/>
        <v>14741.19</v>
      </c>
      <c r="Q128" s="27">
        <f t="shared" si="33"/>
        <v>-1615.6800000000003</v>
      </c>
      <c r="R128" s="19">
        <f t="shared" si="34"/>
        <v>-2388.2878480376776</v>
      </c>
    </row>
    <row r="129" spans="1:18" ht="12.75">
      <c r="A129" s="3">
        <v>2</v>
      </c>
      <c r="B129" s="9">
        <f t="shared" si="41"/>
        <v>43132</v>
      </c>
      <c r="C129" s="125">
        <f t="shared" si="43"/>
        <v>43164</v>
      </c>
      <c r="D129" s="125">
        <f t="shared" si="43"/>
        <v>43179</v>
      </c>
      <c r="E129" s="35" t="s">
        <v>15</v>
      </c>
      <c r="F129" s="3">
        <v>9</v>
      </c>
      <c r="G129" s="194">
        <v>7</v>
      </c>
      <c r="H129" s="126">
        <f t="shared" si="28"/>
        <v>1817.43</v>
      </c>
      <c r="I129" s="126">
        <f t="shared" si="45"/>
        <v>1393.46</v>
      </c>
      <c r="J129" s="28">
        <f t="shared" si="42"/>
        <v>9754.220000000001</v>
      </c>
      <c r="K129" s="29">
        <f t="shared" si="36"/>
        <v>12722.01</v>
      </c>
      <c r="L129" s="30">
        <f>+J129-K129</f>
        <v>-2967.789999999999</v>
      </c>
      <c r="M129" s="27">
        <f t="shared" si="29"/>
        <v>-146.40721514041513</v>
      </c>
      <c r="N129" s="19">
        <f t="shared" si="30"/>
        <v>-3114.1972151404143</v>
      </c>
      <c r="O129" s="27">
        <f t="shared" si="31"/>
        <v>1637.91</v>
      </c>
      <c r="P129" s="27">
        <f t="shared" si="32"/>
        <v>11465.37</v>
      </c>
      <c r="Q129" s="27">
        <f t="shared" si="33"/>
        <v>-1256.6399999999994</v>
      </c>
      <c r="R129" s="19">
        <f t="shared" si="34"/>
        <v>-1857.5572151404149</v>
      </c>
    </row>
    <row r="130" spans="1:18" ht="12.75">
      <c r="A130" s="3">
        <v>3</v>
      </c>
      <c r="B130" s="9">
        <f t="shared" si="41"/>
        <v>43160</v>
      </c>
      <c r="C130" s="125">
        <f t="shared" si="43"/>
        <v>43194</v>
      </c>
      <c r="D130" s="125">
        <f t="shared" si="43"/>
        <v>43209</v>
      </c>
      <c r="E130" s="35" t="s">
        <v>15</v>
      </c>
      <c r="F130" s="3">
        <v>9</v>
      </c>
      <c r="G130" s="194">
        <v>6</v>
      </c>
      <c r="H130" s="126">
        <f t="shared" si="28"/>
        <v>1817.43</v>
      </c>
      <c r="I130" s="126">
        <f t="shared" si="45"/>
        <v>1393.46</v>
      </c>
      <c r="J130" s="28">
        <f t="shared" si="42"/>
        <v>8360.76</v>
      </c>
      <c r="K130" s="29">
        <f t="shared" si="36"/>
        <v>10904.58</v>
      </c>
      <c r="L130" s="30">
        <f>+J130-K130</f>
        <v>-2543.8199999999997</v>
      </c>
      <c r="M130" s="27">
        <f t="shared" si="29"/>
        <v>-125.4918986917844</v>
      </c>
      <c r="N130" s="19">
        <f t="shared" si="30"/>
        <v>-2669.3118986917843</v>
      </c>
      <c r="O130" s="27">
        <f t="shared" si="31"/>
        <v>1637.91</v>
      </c>
      <c r="P130" s="27">
        <f t="shared" si="32"/>
        <v>9827.460000000001</v>
      </c>
      <c r="Q130" s="27">
        <f t="shared" si="33"/>
        <v>-1077.119999999999</v>
      </c>
      <c r="R130" s="19">
        <f t="shared" si="34"/>
        <v>-1592.1918986917854</v>
      </c>
    </row>
    <row r="131" spans="1:18" ht="12.75">
      <c r="A131" s="10">
        <v>4</v>
      </c>
      <c r="B131" s="9">
        <f t="shared" si="41"/>
        <v>43191</v>
      </c>
      <c r="C131" s="125">
        <f t="shared" si="43"/>
        <v>43223</v>
      </c>
      <c r="D131" s="125">
        <f t="shared" si="43"/>
        <v>43238</v>
      </c>
      <c r="E131" s="35" t="s">
        <v>15</v>
      </c>
      <c r="F131" s="3">
        <v>9</v>
      </c>
      <c r="G131" s="194">
        <v>8</v>
      </c>
      <c r="H131" s="126">
        <f t="shared" si="28"/>
        <v>1817.43</v>
      </c>
      <c r="I131" s="126">
        <f t="shared" si="45"/>
        <v>1393.46</v>
      </c>
      <c r="J131" s="28">
        <f t="shared" si="42"/>
        <v>11147.68</v>
      </c>
      <c r="K131" s="29">
        <f t="shared" si="36"/>
        <v>14539.44</v>
      </c>
      <c r="L131" s="30">
        <f aca="true" t="shared" si="46" ref="L131:L141">+J131-K131</f>
        <v>-3391.76</v>
      </c>
      <c r="M131" s="27">
        <f t="shared" si="29"/>
        <v>-167.32253158904587</v>
      </c>
      <c r="N131" s="19">
        <f t="shared" si="30"/>
        <v>-3559.082531589046</v>
      </c>
      <c r="O131" s="27">
        <f t="shared" si="31"/>
        <v>1637.91</v>
      </c>
      <c r="P131" s="27">
        <f t="shared" si="32"/>
        <v>13103.28</v>
      </c>
      <c r="Q131" s="27">
        <f t="shared" si="33"/>
        <v>-1436.1599999999999</v>
      </c>
      <c r="R131" s="19">
        <f t="shared" si="34"/>
        <v>-2122.9225315890462</v>
      </c>
    </row>
    <row r="132" spans="1:18" ht="12.75">
      <c r="A132" s="3">
        <v>5</v>
      </c>
      <c r="B132" s="9">
        <f t="shared" si="41"/>
        <v>43221</v>
      </c>
      <c r="C132" s="125">
        <f t="shared" si="43"/>
        <v>43256</v>
      </c>
      <c r="D132" s="125">
        <f t="shared" si="43"/>
        <v>43271</v>
      </c>
      <c r="E132" s="20" t="s">
        <v>15</v>
      </c>
      <c r="F132" s="3">
        <v>9</v>
      </c>
      <c r="G132" s="194">
        <v>11</v>
      </c>
      <c r="H132" s="126">
        <f t="shared" si="28"/>
        <v>1817.43</v>
      </c>
      <c r="I132" s="126">
        <f t="shared" si="45"/>
        <v>1393.46</v>
      </c>
      <c r="J132" s="28">
        <f t="shared" si="42"/>
        <v>15328.060000000001</v>
      </c>
      <c r="K132" s="29">
        <f t="shared" si="36"/>
        <v>19991.73</v>
      </c>
      <c r="L132" s="30">
        <f t="shared" si="46"/>
        <v>-4663.669999999998</v>
      </c>
      <c r="M132" s="27">
        <f t="shared" si="29"/>
        <v>-230.06848093493807</v>
      </c>
      <c r="N132" s="19">
        <f t="shared" si="30"/>
        <v>-4893.738480934936</v>
      </c>
      <c r="O132" s="27">
        <f t="shared" si="31"/>
        <v>1637.91</v>
      </c>
      <c r="P132" s="27">
        <f t="shared" si="32"/>
        <v>18017.010000000002</v>
      </c>
      <c r="Q132" s="27">
        <f t="shared" si="33"/>
        <v>-1974.7199999999975</v>
      </c>
      <c r="R132" s="19">
        <f t="shared" si="34"/>
        <v>-2919.0184809349385</v>
      </c>
    </row>
    <row r="133" spans="1:18" ht="12.75">
      <c r="A133" s="3">
        <v>6</v>
      </c>
      <c r="B133" s="9">
        <f t="shared" si="41"/>
        <v>43252</v>
      </c>
      <c r="C133" s="125">
        <f t="shared" si="43"/>
        <v>43286</v>
      </c>
      <c r="D133" s="125">
        <f t="shared" si="43"/>
        <v>43301</v>
      </c>
      <c r="E133" s="20" t="s">
        <v>15</v>
      </c>
      <c r="F133" s="3">
        <v>9</v>
      </c>
      <c r="G133" s="194">
        <v>14</v>
      </c>
      <c r="H133" s="126">
        <f t="shared" si="28"/>
        <v>1817.43</v>
      </c>
      <c r="I133" s="126">
        <f t="shared" si="45"/>
        <v>1393.46</v>
      </c>
      <c r="J133" s="28">
        <f t="shared" si="42"/>
        <v>19508.440000000002</v>
      </c>
      <c r="K133" s="29">
        <f t="shared" si="36"/>
        <v>25444.02</v>
      </c>
      <c r="L133" s="39">
        <f t="shared" si="46"/>
        <v>-5935.579999999998</v>
      </c>
      <c r="M133" s="27">
        <f t="shared" si="29"/>
        <v>-292.81443028083027</v>
      </c>
      <c r="N133" s="19">
        <f t="shared" si="30"/>
        <v>-6228.394430280829</v>
      </c>
      <c r="O133" s="27">
        <f t="shared" si="31"/>
        <v>1637.91</v>
      </c>
      <c r="P133" s="27">
        <f t="shared" si="32"/>
        <v>22930.74</v>
      </c>
      <c r="Q133" s="27">
        <f t="shared" si="33"/>
        <v>-2513.279999999999</v>
      </c>
      <c r="R133" s="19">
        <f t="shared" si="34"/>
        <v>-3715.1144302808298</v>
      </c>
    </row>
    <row r="134" spans="1:18" ht="12.75">
      <c r="A134" s="10">
        <v>7</v>
      </c>
      <c r="B134" s="9">
        <f t="shared" si="41"/>
        <v>43282</v>
      </c>
      <c r="C134" s="125">
        <f t="shared" si="43"/>
        <v>43315</v>
      </c>
      <c r="D134" s="125">
        <f t="shared" si="43"/>
        <v>43330</v>
      </c>
      <c r="E134" s="20" t="s">
        <v>15</v>
      </c>
      <c r="F134" s="3">
        <v>9</v>
      </c>
      <c r="G134" s="194">
        <v>18</v>
      </c>
      <c r="H134" s="126">
        <f t="shared" si="28"/>
        <v>1817.43</v>
      </c>
      <c r="I134" s="126">
        <f t="shared" si="45"/>
        <v>1393.46</v>
      </c>
      <c r="J134" s="28">
        <f t="shared" si="42"/>
        <v>25082.28</v>
      </c>
      <c r="K134" s="37">
        <f aca="true" t="shared" si="47" ref="K134:K197">+$G134*H134</f>
        <v>32713.74</v>
      </c>
      <c r="L134" s="39">
        <f t="shared" si="46"/>
        <v>-7631.460000000003</v>
      </c>
      <c r="M134" s="27">
        <f t="shared" si="29"/>
        <v>-376.4756960753532</v>
      </c>
      <c r="N134" s="19">
        <f t="shared" si="30"/>
        <v>-8007.935696075356</v>
      </c>
      <c r="O134" s="27">
        <f t="shared" si="31"/>
        <v>1637.91</v>
      </c>
      <c r="P134" s="27">
        <f t="shared" si="32"/>
        <v>29482.38</v>
      </c>
      <c r="Q134" s="27">
        <f t="shared" si="33"/>
        <v>-3231.3600000000006</v>
      </c>
      <c r="R134" s="19">
        <f t="shared" si="34"/>
        <v>-4776.575696075355</v>
      </c>
    </row>
    <row r="135" spans="1:18" ht="12.75">
      <c r="A135" s="3">
        <v>8</v>
      </c>
      <c r="B135" s="9">
        <f t="shared" si="41"/>
        <v>43313</v>
      </c>
      <c r="C135" s="125">
        <f t="shared" si="43"/>
        <v>43348</v>
      </c>
      <c r="D135" s="125">
        <f t="shared" si="43"/>
        <v>43363</v>
      </c>
      <c r="E135" s="20" t="s">
        <v>15</v>
      </c>
      <c r="F135" s="3">
        <v>9</v>
      </c>
      <c r="G135" s="194">
        <v>15</v>
      </c>
      <c r="H135" s="126">
        <f t="shared" si="28"/>
        <v>1817.43</v>
      </c>
      <c r="I135" s="126">
        <f t="shared" si="45"/>
        <v>1393.46</v>
      </c>
      <c r="J135" s="28">
        <f t="shared" si="42"/>
        <v>20901.9</v>
      </c>
      <c r="K135" s="37">
        <f t="shared" si="47"/>
        <v>27261.45</v>
      </c>
      <c r="L135" s="39">
        <f t="shared" si="46"/>
        <v>-6359.549999999999</v>
      </c>
      <c r="M135" s="27">
        <f t="shared" si="29"/>
        <v>-313.729746729461</v>
      </c>
      <c r="N135" s="19">
        <f t="shared" si="30"/>
        <v>-6673.27974672946</v>
      </c>
      <c r="O135" s="27">
        <f t="shared" si="31"/>
        <v>1637.91</v>
      </c>
      <c r="P135" s="27">
        <f t="shared" si="32"/>
        <v>24568.65</v>
      </c>
      <c r="Q135" s="27">
        <f t="shared" si="33"/>
        <v>-2692.7999999999993</v>
      </c>
      <c r="R135" s="19">
        <f t="shared" si="34"/>
        <v>-3980.479746729461</v>
      </c>
    </row>
    <row r="136" spans="1:18" ht="12.75">
      <c r="A136" s="3">
        <v>9</v>
      </c>
      <c r="B136" s="9">
        <f t="shared" si="41"/>
        <v>43344</v>
      </c>
      <c r="C136" s="125">
        <f t="shared" si="43"/>
        <v>43376</v>
      </c>
      <c r="D136" s="125">
        <f t="shared" si="43"/>
        <v>43391</v>
      </c>
      <c r="E136" s="20" t="s">
        <v>15</v>
      </c>
      <c r="F136" s="3">
        <v>9</v>
      </c>
      <c r="G136" s="194">
        <v>7</v>
      </c>
      <c r="H136" s="126">
        <f t="shared" si="28"/>
        <v>1817.43</v>
      </c>
      <c r="I136" s="126">
        <f t="shared" si="45"/>
        <v>1393.46</v>
      </c>
      <c r="J136" s="28">
        <f t="shared" si="42"/>
        <v>9754.220000000001</v>
      </c>
      <c r="K136" s="37">
        <f t="shared" si="47"/>
        <v>12722.01</v>
      </c>
      <c r="L136" s="39">
        <f t="shared" si="46"/>
        <v>-2967.789999999999</v>
      </c>
      <c r="M136" s="27">
        <f t="shared" si="29"/>
        <v>-146.40721514041513</v>
      </c>
      <c r="N136" s="19">
        <f t="shared" si="30"/>
        <v>-3114.1972151404143</v>
      </c>
      <c r="O136" s="27">
        <f t="shared" si="31"/>
        <v>1637.91</v>
      </c>
      <c r="P136" s="27">
        <f t="shared" si="32"/>
        <v>11465.37</v>
      </c>
      <c r="Q136" s="27">
        <f t="shared" si="33"/>
        <v>-1256.6399999999994</v>
      </c>
      <c r="R136" s="19">
        <f t="shared" si="34"/>
        <v>-1857.5572151404149</v>
      </c>
    </row>
    <row r="137" spans="1:18" ht="12.75">
      <c r="A137" s="10">
        <v>10</v>
      </c>
      <c r="B137" s="9">
        <f t="shared" si="41"/>
        <v>43374</v>
      </c>
      <c r="C137" s="125">
        <f t="shared" si="43"/>
        <v>43409</v>
      </c>
      <c r="D137" s="125">
        <f t="shared" si="43"/>
        <v>43424</v>
      </c>
      <c r="E137" s="20" t="s">
        <v>15</v>
      </c>
      <c r="F137" s="3">
        <v>9</v>
      </c>
      <c r="G137" s="194">
        <v>7</v>
      </c>
      <c r="H137" s="126">
        <f t="shared" si="28"/>
        <v>1817.43</v>
      </c>
      <c r="I137" s="126">
        <f t="shared" si="45"/>
        <v>1393.46</v>
      </c>
      <c r="J137" s="28">
        <f t="shared" si="42"/>
        <v>9754.220000000001</v>
      </c>
      <c r="K137" s="37">
        <f t="shared" si="47"/>
        <v>12722.01</v>
      </c>
      <c r="L137" s="39">
        <f t="shared" si="46"/>
        <v>-2967.789999999999</v>
      </c>
      <c r="M137" s="27">
        <f t="shared" si="29"/>
        <v>-146.40721514041513</v>
      </c>
      <c r="N137" s="19">
        <f t="shared" si="30"/>
        <v>-3114.1972151404143</v>
      </c>
      <c r="O137" s="27">
        <f t="shared" si="31"/>
        <v>1637.91</v>
      </c>
      <c r="P137" s="27">
        <f t="shared" si="32"/>
        <v>11465.37</v>
      </c>
      <c r="Q137" s="27">
        <f t="shared" si="33"/>
        <v>-1256.6399999999994</v>
      </c>
      <c r="R137" s="19">
        <f t="shared" si="34"/>
        <v>-1857.5572151404149</v>
      </c>
    </row>
    <row r="138" spans="1:18" ht="12.75">
      <c r="A138" s="3">
        <v>11</v>
      </c>
      <c r="B138" s="9">
        <f t="shared" si="41"/>
        <v>43405</v>
      </c>
      <c r="C138" s="125">
        <f t="shared" si="43"/>
        <v>43439</v>
      </c>
      <c r="D138" s="125">
        <f t="shared" si="43"/>
        <v>43454</v>
      </c>
      <c r="E138" s="20" t="s">
        <v>15</v>
      </c>
      <c r="F138" s="3">
        <v>9</v>
      </c>
      <c r="G138" s="194">
        <v>7</v>
      </c>
      <c r="H138" s="126">
        <f t="shared" si="28"/>
        <v>1817.43</v>
      </c>
      <c r="I138" s="126">
        <f t="shared" si="45"/>
        <v>1393.46</v>
      </c>
      <c r="J138" s="28">
        <f t="shared" si="42"/>
        <v>9754.220000000001</v>
      </c>
      <c r="K138" s="37">
        <f t="shared" si="47"/>
        <v>12722.01</v>
      </c>
      <c r="L138" s="39">
        <f t="shared" si="46"/>
        <v>-2967.789999999999</v>
      </c>
      <c r="M138" s="27">
        <f t="shared" si="29"/>
        <v>-146.40721514041513</v>
      </c>
      <c r="N138" s="19">
        <f t="shared" si="30"/>
        <v>-3114.1972151404143</v>
      </c>
      <c r="O138" s="27">
        <f t="shared" si="31"/>
        <v>1637.91</v>
      </c>
      <c r="P138" s="27">
        <f t="shared" si="32"/>
        <v>11465.37</v>
      </c>
      <c r="Q138" s="27">
        <f t="shared" si="33"/>
        <v>-1256.6399999999994</v>
      </c>
      <c r="R138" s="19">
        <f t="shared" si="34"/>
        <v>-1857.5572151404149</v>
      </c>
    </row>
    <row r="139" spans="1:18" s="34" customFormat="1" ht="12.75">
      <c r="A139" s="3">
        <v>12</v>
      </c>
      <c r="B139" s="44">
        <f t="shared" si="41"/>
        <v>43435</v>
      </c>
      <c r="C139" s="125">
        <f t="shared" si="43"/>
        <v>43468</v>
      </c>
      <c r="D139" s="125">
        <f t="shared" si="43"/>
        <v>43483</v>
      </c>
      <c r="E139" s="45" t="s">
        <v>15</v>
      </c>
      <c r="F139" s="42">
        <v>9</v>
      </c>
      <c r="G139" s="195">
        <v>7</v>
      </c>
      <c r="H139" s="126">
        <f t="shared" si="28"/>
        <v>1817.43</v>
      </c>
      <c r="I139" s="127">
        <f t="shared" si="45"/>
        <v>1393.46</v>
      </c>
      <c r="J139" s="46">
        <f t="shared" si="42"/>
        <v>9754.220000000001</v>
      </c>
      <c r="K139" s="47">
        <f t="shared" si="47"/>
        <v>12722.01</v>
      </c>
      <c r="L139" s="48">
        <f t="shared" si="46"/>
        <v>-2967.789999999999</v>
      </c>
      <c r="M139" s="27">
        <f t="shared" si="29"/>
        <v>-146.40721514041513</v>
      </c>
      <c r="N139" s="19">
        <f t="shared" si="30"/>
        <v>-3114.1972151404143</v>
      </c>
      <c r="O139" s="27">
        <f t="shared" si="31"/>
        <v>1637.91</v>
      </c>
      <c r="P139" s="27">
        <f t="shared" si="32"/>
        <v>11465.37</v>
      </c>
      <c r="Q139" s="27">
        <f t="shared" si="33"/>
        <v>-1256.6399999999994</v>
      </c>
      <c r="R139" s="19">
        <f t="shared" si="34"/>
        <v>-1857.5572151404149</v>
      </c>
    </row>
    <row r="140" spans="1:18" ht="12.75">
      <c r="A140" s="10">
        <v>1</v>
      </c>
      <c r="B140" s="9">
        <f t="shared" si="41"/>
        <v>43101</v>
      </c>
      <c r="C140" s="124">
        <f aca="true" t="shared" si="48" ref="C140:D151">+C128</f>
        <v>43136</v>
      </c>
      <c r="D140" s="124">
        <f t="shared" si="48"/>
        <v>43151</v>
      </c>
      <c r="E140" s="59" t="s">
        <v>16</v>
      </c>
      <c r="F140" s="3">
        <v>9</v>
      </c>
      <c r="G140" s="194">
        <v>2</v>
      </c>
      <c r="H140" s="126">
        <f t="shared" si="28"/>
        <v>1817.43</v>
      </c>
      <c r="I140" s="126">
        <f t="shared" si="45"/>
        <v>1393.46</v>
      </c>
      <c r="J140" s="28">
        <f t="shared" si="42"/>
        <v>2786.92</v>
      </c>
      <c r="K140" s="29">
        <f t="shared" si="47"/>
        <v>3634.86</v>
      </c>
      <c r="L140" s="30">
        <f t="shared" si="46"/>
        <v>-847.94</v>
      </c>
      <c r="M140" s="27">
        <f t="shared" si="29"/>
        <v>-41.83063289726147</v>
      </c>
      <c r="N140" s="19">
        <f t="shared" si="30"/>
        <v>-889.7706328972615</v>
      </c>
      <c r="O140" s="27">
        <f t="shared" si="31"/>
        <v>1637.91</v>
      </c>
      <c r="P140" s="27">
        <f t="shared" si="32"/>
        <v>3275.82</v>
      </c>
      <c r="Q140" s="27">
        <f t="shared" si="33"/>
        <v>-359.03999999999996</v>
      </c>
      <c r="R140" s="19">
        <f t="shared" si="34"/>
        <v>-530.7306328972616</v>
      </c>
    </row>
    <row r="141" spans="1:18" ht="12.75">
      <c r="A141" s="3">
        <v>2</v>
      </c>
      <c r="B141" s="9">
        <f t="shared" si="41"/>
        <v>43132</v>
      </c>
      <c r="C141" s="125">
        <f t="shared" si="48"/>
        <v>43164</v>
      </c>
      <c r="D141" s="125">
        <f t="shared" si="48"/>
        <v>43179</v>
      </c>
      <c r="E141" s="20" t="s">
        <v>16</v>
      </c>
      <c r="F141" s="3">
        <v>9</v>
      </c>
      <c r="G141" s="194">
        <v>2</v>
      </c>
      <c r="H141" s="126">
        <f t="shared" si="28"/>
        <v>1817.43</v>
      </c>
      <c r="I141" s="126">
        <f t="shared" si="45"/>
        <v>1393.46</v>
      </c>
      <c r="J141" s="28">
        <f t="shared" si="42"/>
        <v>2786.92</v>
      </c>
      <c r="K141" s="29">
        <f t="shared" si="47"/>
        <v>3634.86</v>
      </c>
      <c r="L141" s="30">
        <f t="shared" si="46"/>
        <v>-847.94</v>
      </c>
      <c r="M141" s="27">
        <f t="shared" si="29"/>
        <v>-41.83063289726147</v>
      </c>
      <c r="N141" s="19">
        <f t="shared" si="30"/>
        <v>-889.7706328972615</v>
      </c>
      <c r="O141" s="27">
        <f t="shared" si="31"/>
        <v>1637.91</v>
      </c>
      <c r="P141" s="27">
        <f t="shared" si="32"/>
        <v>3275.82</v>
      </c>
      <c r="Q141" s="27">
        <f t="shared" si="33"/>
        <v>-359.03999999999996</v>
      </c>
      <c r="R141" s="19">
        <f t="shared" si="34"/>
        <v>-530.7306328972616</v>
      </c>
    </row>
    <row r="142" spans="1:18" ht="12.75">
      <c r="A142" s="3">
        <v>3</v>
      </c>
      <c r="B142" s="9">
        <f t="shared" si="41"/>
        <v>43160</v>
      </c>
      <c r="C142" s="125">
        <f t="shared" si="48"/>
        <v>43194</v>
      </c>
      <c r="D142" s="125">
        <f t="shared" si="48"/>
        <v>43209</v>
      </c>
      <c r="E142" s="20" t="s">
        <v>16</v>
      </c>
      <c r="F142" s="3">
        <v>9</v>
      </c>
      <c r="G142" s="194">
        <v>1</v>
      </c>
      <c r="H142" s="126">
        <f t="shared" si="28"/>
        <v>1817.43</v>
      </c>
      <c r="I142" s="126">
        <f t="shared" si="45"/>
        <v>1393.46</v>
      </c>
      <c r="J142" s="28">
        <f t="shared" si="42"/>
        <v>1393.46</v>
      </c>
      <c r="K142" s="29">
        <f t="shared" si="47"/>
        <v>1817.43</v>
      </c>
      <c r="L142" s="30">
        <f>+J142-K142</f>
        <v>-423.97</v>
      </c>
      <c r="M142" s="27">
        <f t="shared" si="29"/>
        <v>-20.915316448630733</v>
      </c>
      <c r="N142" s="19">
        <f t="shared" si="30"/>
        <v>-444.88531644863076</v>
      </c>
      <c r="O142" s="27">
        <f t="shared" si="31"/>
        <v>1637.91</v>
      </c>
      <c r="P142" s="27">
        <f t="shared" si="32"/>
        <v>1637.91</v>
      </c>
      <c r="Q142" s="27">
        <f t="shared" si="33"/>
        <v>-179.51999999999998</v>
      </c>
      <c r="R142" s="19">
        <f t="shared" si="34"/>
        <v>-265.3653164486308</v>
      </c>
    </row>
    <row r="143" spans="1:18" ht="12.75">
      <c r="A143" s="10">
        <v>4</v>
      </c>
      <c r="B143" s="9">
        <f t="shared" si="41"/>
        <v>43191</v>
      </c>
      <c r="C143" s="125">
        <f t="shared" si="48"/>
        <v>43223</v>
      </c>
      <c r="D143" s="125">
        <f t="shared" si="48"/>
        <v>43238</v>
      </c>
      <c r="E143" s="20" t="s">
        <v>16</v>
      </c>
      <c r="F143" s="3">
        <v>9</v>
      </c>
      <c r="G143" s="194">
        <v>1</v>
      </c>
      <c r="H143" s="126">
        <f t="shared" si="28"/>
        <v>1817.43</v>
      </c>
      <c r="I143" s="126">
        <f t="shared" si="45"/>
        <v>1393.46</v>
      </c>
      <c r="J143" s="28">
        <f t="shared" si="42"/>
        <v>1393.46</v>
      </c>
      <c r="K143" s="29">
        <f t="shared" si="47"/>
        <v>1817.43</v>
      </c>
      <c r="L143" s="30">
        <f aca="true" t="shared" si="49" ref="L143:L153">+J143-K143</f>
        <v>-423.97</v>
      </c>
      <c r="M143" s="27">
        <f t="shared" si="29"/>
        <v>-20.915316448630733</v>
      </c>
      <c r="N143" s="19">
        <f t="shared" si="30"/>
        <v>-444.88531644863076</v>
      </c>
      <c r="O143" s="27">
        <f t="shared" si="31"/>
        <v>1637.91</v>
      </c>
      <c r="P143" s="27">
        <f t="shared" si="32"/>
        <v>1637.91</v>
      </c>
      <c r="Q143" s="27">
        <f t="shared" si="33"/>
        <v>-179.51999999999998</v>
      </c>
      <c r="R143" s="19">
        <f t="shared" si="34"/>
        <v>-265.3653164486308</v>
      </c>
    </row>
    <row r="144" spans="1:18" ht="12.75">
      <c r="A144" s="3">
        <v>5</v>
      </c>
      <c r="B144" s="9">
        <f t="shared" si="41"/>
        <v>43221</v>
      </c>
      <c r="C144" s="125">
        <f t="shared" si="48"/>
        <v>43256</v>
      </c>
      <c r="D144" s="125">
        <f t="shared" si="48"/>
        <v>43271</v>
      </c>
      <c r="E144" s="20" t="s">
        <v>16</v>
      </c>
      <c r="F144" s="3">
        <v>9</v>
      </c>
      <c r="G144" s="194">
        <v>4</v>
      </c>
      <c r="H144" s="126">
        <f t="shared" si="28"/>
        <v>1817.43</v>
      </c>
      <c r="I144" s="126">
        <f t="shared" si="45"/>
        <v>1393.46</v>
      </c>
      <c r="J144" s="28">
        <f t="shared" si="42"/>
        <v>5573.84</v>
      </c>
      <c r="K144" s="29">
        <f t="shared" si="47"/>
        <v>7269.72</v>
      </c>
      <c r="L144" s="30">
        <f t="shared" si="49"/>
        <v>-1695.88</v>
      </c>
      <c r="M144" s="27">
        <f t="shared" si="29"/>
        <v>-83.66126579452293</v>
      </c>
      <c r="N144" s="19">
        <f t="shared" si="30"/>
        <v>-1779.541265794523</v>
      </c>
      <c r="O144" s="27">
        <f t="shared" si="31"/>
        <v>1637.91</v>
      </c>
      <c r="P144" s="27">
        <f t="shared" si="32"/>
        <v>6551.64</v>
      </c>
      <c r="Q144" s="27">
        <f t="shared" si="33"/>
        <v>-718.0799999999999</v>
      </c>
      <c r="R144" s="19">
        <f t="shared" si="34"/>
        <v>-1061.4612657945231</v>
      </c>
    </row>
    <row r="145" spans="1:18" ht="12.75">
      <c r="A145" s="3">
        <v>6</v>
      </c>
      <c r="B145" s="9">
        <f t="shared" si="41"/>
        <v>43252</v>
      </c>
      <c r="C145" s="125">
        <f t="shared" si="48"/>
        <v>43286</v>
      </c>
      <c r="D145" s="125">
        <f t="shared" si="48"/>
        <v>43301</v>
      </c>
      <c r="E145" s="20" t="s">
        <v>16</v>
      </c>
      <c r="F145" s="3">
        <v>9</v>
      </c>
      <c r="G145" s="194">
        <v>3</v>
      </c>
      <c r="H145" s="126">
        <f t="shared" si="28"/>
        <v>1817.43</v>
      </c>
      <c r="I145" s="126">
        <f t="shared" si="45"/>
        <v>1393.46</v>
      </c>
      <c r="J145" s="28">
        <f t="shared" si="42"/>
        <v>4180.38</v>
      </c>
      <c r="K145" s="29">
        <f t="shared" si="47"/>
        <v>5452.29</v>
      </c>
      <c r="L145" s="39">
        <f t="shared" si="49"/>
        <v>-1271.9099999999999</v>
      </c>
      <c r="M145" s="27">
        <f t="shared" si="29"/>
        <v>-62.7459493458922</v>
      </c>
      <c r="N145" s="19">
        <f t="shared" si="30"/>
        <v>-1334.6559493458922</v>
      </c>
      <c r="O145" s="27">
        <f t="shared" si="31"/>
        <v>1637.91</v>
      </c>
      <c r="P145" s="27">
        <f t="shared" si="32"/>
        <v>4913.7300000000005</v>
      </c>
      <c r="Q145" s="27">
        <f t="shared" si="33"/>
        <v>-538.5599999999995</v>
      </c>
      <c r="R145" s="19">
        <f t="shared" si="34"/>
        <v>-796.0959493458927</v>
      </c>
    </row>
    <row r="146" spans="1:18" ht="12.75">
      <c r="A146" s="10">
        <v>7</v>
      </c>
      <c r="B146" s="9">
        <f t="shared" si="41"/>
        <v>43282</v>
      </c>
      <c r="C146" s="125">
        <f t="shared" si="48"/>
        <v>43315</v>
      </c>
      <c r="D146" s="125">
        <f t="shared" si="48"/>
        <v>43330</v>
      </c>
      <c r="E146" s="20" t="s">
        <v>16</v>
      </c>
      <c r="F146" s="3">
        <v>9</v>
      </c>
      <c r="G146" s="194">
        <v>4</v>
      </c>
      <c r="H146" s="126">
        <f t="shared" si="28"/>
        <v>1817.43</v>
      </c>
      <c r="I146" s="126">
        <f t="shared" si="45"/>
        <v>1393.46</v>
      </c>
      <c r="J146" s="28">
        <f t="shared" si="42"/>
        <v>5573.84</v>
      </c>
      <c r="K146" s="37">
        <f t="shared" si="47"/>
        <v>7269.72</v>
      </c>
      <c r="L146" s="39">
        <f t="shared" si="49"/>
        <v>-1695.88</v>
      </c>
      <c r="M146" s="27">
        <f t="shared" si="29"/>
        <v>-83.66126579452293</v>
      </c>
      <c r="N146" s="19">
        <f t="shared" si="30"/>
        <v>-1779.541265794523</v>
      </c>
      <c r="O146" s="27">
        <f t="shared" si="31"/>
        <v>1637.91</v>
      </c>
      <c r="P146" s="27">
        <f t="shared" si="32"/>
        <v>6551.64</v>
      </c>
      <c r="Q146" s="27">
        <f t="shared" si="33"/>
        <v>-718.0799999999999</v>
      </c>
      <c r="R146" s="19">
        <f t="shared" si="34"/>
        <v>-1061.4612657945231</v>
      </c>
    </row>
    <row r="147" spans="1:18" ht="12.75">
      <c r="A147" s="3">
        <v>8</v>
      </c>
      <c r="B147" s="9">
        <f t="shared" si="41"/>
        <v>43313</v>
      </c>
      <c r="C147" s="125">
        <f t="shared" si="48"/>
        <v>43348</v>
      </c>
      <c r="D147" s="125">
        <f t="shared" si="48"/>
        <v>43363</v>
      </c>
      <c r="E147" s="20" t="s">
        <v>16</v>
      </c>
      <c r="F147" s="3">
        <v>9</v>
      </c>
      <c r="G147" s="194">
        <v>6</v>
      </c>
      <c r="H147" s="126">
        <f t="shared" si="28"/>
        <v>1817.43</v>
      </c>
      <c r="I147" s="126">
        <f t="shared" si="45"/>
        <v>1393.46</v>
      </c>
      <c r="J147" s="28">
        <f t="shared" si="42"/>
        <v>8360.76</v>
      </c>
      <c r="K147" s="37">
        <f t="shared" si="47"/>
        <v>10904.58</v>
      </c>
      <c r="L147" s="39">
        <f t="shared" si="49"/>
        <v>-2543.8199999999997</v>
      </c>
      <c r="M147" s="27">
        <f t="shared" si="29"/>
        <v>-125.4918986917844</v>
      </c>
      <c r="N147" s="19">
        <f t="shared" si="30"/>
        <v>-2669.3118986917843</v>
      </c>
      <c r="O147" s="27">
        <f t="shared" si="31"/>
        <v>1637.91</v>
      </c>
      <c r="P147" s="27">
        <f t="shared" si="32"/>
        <v>9827.460000000001</v>
      </c>
      <c r="Q147" s="27">
        <f t="shared" si="33"/>
        <v>-1077.119999999999</v>
      </c>
      <c r="R147" s="19">
        <f t="shared" si="34"/>
        <v>-1592.1918986917854</v>
      </c>
    </row>
    <row r="148" spans="1:18" ht="12.75">
      <c r="A148" s="3">
        <v>9</v>
      </c>
      <c r="B148" s="9">
        <f t="shared" si="41"/>
        <v>43344</v>
      </c>
      <c r="C148" s="125">
        <f t="shared" si="48"/>
        <v>43376</v>
      </c>
      <c r="D148" s="125">
        <f t="shared" si="48"/>
        <v>43391</v>
      </c>
      <c r="E148" s="20" t="s">
        <v>16</v>
      </c>
      <c r="F148" s="3">
        <v>9</v>
      </c>
      <c r="G148" s="194">
        <v>2</v>
      </c>
      <c r="H148" s="126">
        <f aca="true" t="shared" si="50" ref="H148:H211">$K$3</f>
        <v>1817.43</v>
      </c>
      <c r="I148" s="126">
        <f aca="true" t="shared" si="51" ref="I148:I179">$J$3</f>
        <v>1393.46</v>
      </c>
      <c r="J148" s="28">
        <f t="shared" si="42"/>
        <v>2786.92</v>
      </c>
      <c r="K148" s="37">
        <f t="shared" si="47"/>
        <v>3634.86</v>
      </c>
      <c r="L148" s="39">
        <f t="shared" si="49"/>
        <v>-847.94</v>
      </c>
      <c r="M148" s="27">
        <f t="shared" si="29"/>
        <v>-41.83063289726147</v>
      </c>
      <c r="N148" s="19">
        <f t="shared" si="30"/>
        <v>-889.7706328972615</v>
      </c>
      <c r="O148" s="27">
        <f t="shared" si="31"/>
        <v>1637.91</v>
      </c>
      <c r="P148" s="27">
        <f t="shared" si="32"/>
        <v>3275.82</v>
      </c>
      <c r="Q148" s="27">
        <f t="shared" si="33"/>
        <v>-359.03999999999996</v>
      </c>
      <c r="R148" s="19">
        <f t="shared" si="34"/>
        <v>-530.7306328972616</v>
      </c>
    </row>
    <row r="149" spans="1:18" ht="12.75">
      <c r="A149" s="10">
        <v>10</v>
      </c>
      <c r="B149" s="9">
        <f aca="true" t="shared" si="52" ref="B149:B211">DATE($R$1,A149,1)</f>
        <v>43374</v>
      </c>
      <c r="C149" s="125">
        <f t="shared" si="48"/>
        <v>43409</v>
      </c>
      <c r="D149" s="125">
        <f t="shared" si="48"/>
        <v>43424</v>
      </c>
      <c r="E149" s="20" t="s">
        <v>16</v>
      </c>
      <c r="F149" s="3">
        <v>9</v>
      </c>
      <c r="G149" s="194">
        <v>2</v>
      </c>
      <c r="H149" s="126">
        <f t="shared" si="50"/>
        <v>1817.43</v>
      </c>
      <c r="I149" s="126">
        <f t="shared" si="51"/>
        <v>1393.46</v>
      </c>
      <c r="J149" s="28">
        <f aca="true" t="shared" si="53" ref="J149:J211">+$G149*I149</f>
        <v>2786.92</v>
      </c>
      <c r="K149" s="37">
        <f t="shared" si="47"/>
        <v>3634.86</v>
      </c>
      <c r="L149" s="39">
        <f t="shared" si="49"/>
        <v>-847.94</v>
      </c>
      <c r="M149" s="27">
        <f aca="true" t="shared" si="54" ref="M149:M211">G149/$G$212*$M$14</f>
        <v>-41.83063289726147</v>
      </c>
      <c r="N149" s="19">
        <f aca="true" t="shared" si="55" ref="N149:N211">SUM(L149:M149)</f>
        <v>-889.7706328972615</v>
      </c>
      <c r="O149" s="27">
        <f aca="true" t="shared" si="56" ref="O149:O211">+$P$3</f>
        <v>1637.91</v>
      </c>
      <c r="P149" s="27">
        <f aca="true" t="shared" si="57" ref="P149:P211">+G149*O149</f>
        <v>3275.82</v>
      </c>
      <c r="Q149" s="27">
        <f aca="true" t="shared" si="58" ref="Q149:Q211">+P149-K149</f>
        <v>-359.03999999999996</v>
      </c>
      <c r="R149" s="19">
        <f aca="true" t="shared" si="59" ref="R149:R211">+N149-Q149</f>
        <v>-530.7306328972616</v>
      </c>
    </row>
    <row r="150" spans="1:18" ht="12.75">
      <c r="A150" s="3">
        <v>11</v>
      </c>
      <c r="B150" s="9">
        <f t="shared" si="52"/>
        <v>43405</v>
      </c>
      <c r="C150" s="125">
        <f t="shared" si="48"/>
        <v>43439</v>
      </c>
      <c r="D150" s="125">
        <f t="shared" si="48"/>
        <v>43454</v>
      </c>
      <c r="E150" s="20" t="s">
        <v>16</v>
      </c>
      <c r="F150" s="3">
        <v>9</v>
      </c>
      <c r="G150" s="194">
        <v>3</v>
      </c>
      <c r="H150" s="126">
        <f t="shared" si="50"/>
        <v>1817.43</v>
      </c>
      <c r="I150" s="126">
        <f t="shared" si="51"/>
        <v>1393.46</v>
      </c>
      <c r="J150" s="28">
        <f t="shared" si="53"/>
        <v>4180.38</v>
      </c>
      <c r="K150" s="37">
        <f t="shared" si="47"/>
        <v>5452.29</v>
      </c>
      <c r="L150" s="39">
        <f t="shared" si="49"/>
        <v>-1271.9099999999999</v>
      </c>
      <c r="M150" s="27">
        <f t="shared" si="54"/>
        <v>-62.7459493458922</v>
      </c>
      <c r="N150" s="19">
        <f t="shared" si="55"/>
        <v>-1334.6559493458922</v>
      </c>
      <c r="O150" s="27">
        <f t="shared" si="56"/>
        <v>1637.91</v>
      </c>
      <c r="P150" s="27">
        <f t="shared" si="57"/>
        <v>4913.7300000000005</v>
      </c>
      <c r="Q150" s="27">
        <f t="shared" si="58"/>
        <v>-538.5599999999995</v>
      </c>
      <c r="R150" s="19">
        <f t="shared" si="59"/>
        <v>-796.0959493458927</v>
      </c>
    </row>
    <row r="151" spans="1:18" s="34" customFormat="1" ht="12.75">
      <c r="A151" s="3">
        <v>12</v>
      </c>
      <c r="B151" s="44">
        <f t="shared" si="52"/>
        <v>43435</v>
      </c>
      <c r="C151" s="125">
        <f t="shared" si="48"/>
        <v>43468</v>
      </c>
      <c r="D151" s="125">
        <f t="shared" si="48"/>
        <v>43483</v>
      </c>
      <c r="E151" s="45" t="s">
        <v>16</v>
      </c>
      <c r="F151" s="42">
        <v>9</v>
      </c>
      <c r="G151" s="195">
        <v>2</v>
      </c>
      <c r="H151" s="126">
        <f t="shared" si="50"/>
        <v>1817.43</v>
      </c>
      <c r="I151" s="127">
        <f t="shared" si="51"/>
        <v>1393.46</v>
      </c>
      <c r="J151" s="46">
        <f t="shared" si="53"/>
        <v>2786.92</v>
      </c>
      <c r="K151" s="47">
        <f t="shared" si="47"/>
        <v>3634.86</v>
      </c>
      <c r="L151" s="48">
        <f t="shared" si="49"/>
        <v>-847.94</v>
      </c>
      <c r="M151" s="27">
        <f t="shared" si="54"/>
        <v>-41.83063289726147</v>
      </c>
      <c r="N151" s="19">
        <f t="shared" si="55"/>
        <v>-889.7706328972615</v>
      </c>
      <c r="O151" s="27">
        <f t="shared" si="56"/>
        <v>1637.91</v>
      </c>
      <c r="P151" s="27">
        <f t="shared" si="57"/>
        <v>3275.82</v>
      </c>
      <c r="Q151" s="27">
        <f t="shared" si="58"/>
        <v>-359.03999999999996</v>
      </c>
      <c r="R151" s="19">
        <f t="shared" si="59"/>
        <v>-530.7306328972616</v>
      </c>
    </row>
    <row r="152" spans="1:18" ht="12.75">
      <c r="A152" s="10">
        <v>1</v>
      </c>
      <c r="B152" s="9">
        <f t="shared" si="52"/>
        <v>43101</v>
      </c>
      <c r="C152" s="124">
        <f aca="true" t="shared" si="60" ref="C152:D171">+C140</f>
        <v>43136</v>
      </c>
      <c r="D152" s="124">
        <f t="shared" si="60"/>
        <v>43151</v>
      </c>
      <c r="E152" s="59" t="s">
        <v>54</v>
      </c>
      <c r="F152" s="10">
        <v>9</v>
      </c>
      <c r="G152" s="194">
        <v>126</v>
      </c>
      <c r="H152" s="126">
        <f t="shared" si="50"/>
        <v>1817.43</v>
      </c>
      <c r="I152" s="126">
        <f t="shared" si="51"/>
        <v>1393.46</v>
      </c>
      <c r="J152" s="28">
        <f t="shared" si="53"/>
        <v>175575.96</v>
      </c>
      <c r="K152" s="29">
        <f t="shared" si="47"/>
        <v>228996.18000000002</v>
      </c>
      <c r="L152" s="30">
        <f t="shared" si="49"/>
        <v>-53420.22000000003</v>
      </c>
      <c r="M152" s="27">
        <f t="shared" si="54"/>
        <v>-2635.3298725274726</v>
      </c>
      <c r="N152" s="19">
        <f t="shared" si="55"/>
        <v>-56055.5498725275</v>
      </c>
      <c r="O152" s="27">
        <f t="shared" si="56"/>
        <v>1637.91</v>
      </c>
      <c r="P152" s="27">
        <f t="shared" si="57"/>
        <v>206376.66</v>
      </c>
      <c r="Q152" s="27">
        <f t="shared" si="58"/>
        <v>-22619.52000000002</v>
      </c>
      <c r="R152" s="19">
        <f t="shared" si="59"/>
        <v>-33436.029872527484</v>
      </c>
    </row>
    <row r="153" spans="1:18" ht="12.75">
      <c r="A153" s="3">
        <v>2</v>
      </c>
      <c r="B153" s="9">
        <f t="shared" si="52"/>
        <v>43132</v>
      </c>
      <c r="C153" s="125">
        <f t="shared" si="60"/>
        <v>43164</v>
      </c>
      <c r="D153" s="125">
        <f t="shared" si="60"/>
        <v>43179</v>
      </c>
      <c r="E153" s="70" t="s">
        <v>54</v>
      </c>
      <c r="F153" s="3">
        <v>9</v>
      </c>
      <c r="G153" s="194">
        <v>103</v>
      </c>
      <c r="H153" s="126">
        <f t="shared" si="50"/>
        <v>1817.43</v>
      </c>
      <c r="I153" s="126">
        <f t="shared" si="51"/>
        <v>1393.46</v>
      </c>
      <c r="J153" s="28">
        <f t="shared" si="53"/>
        <v>143526.38</v>
      </c>
      <c r="K153" s="29">
        <f t="shared" si="47"/>
        <v>187195.29</v>
      </c>
      <c r="L153" s="30">
        <f t="shared" si="49"/>
        <v>-43668.91</v>
      </c>
      <c r="M153" s="27">
        <f t="shared" si="54"/>
        <v>-2154.277594208965</v>
      </c>
      <c r="N153" s="19">
        <f t="shared" si="55"/>
        <v>-45823.18759420897</v>
      </c>
      <c r="O153" s="27">
        <f t="shared" si="56"/>
        <v>1637.91</v>
      </c>
      <c r="P153" s="27">
        <f t="shared" si="57"/>
        <v>168704.73</v>
      </c>
      <c r="Q153" s="27">
        <f t="shared" si="58"/>
        <v>-18490.559999999998</v>
      </c>
      <c r="R153" s="19">
        <f t="shared" si="59"/>
        <v>-27332.62759420897</v>
      </c>
    </row>
    <row r="154" spans="1:18" ht="12.75">
      <c r="A154" s="3">
        <v>3</v>
      </c>
      <c r="B154" s="9">
        <f t="shared" si="52"/>
        <v>43160</v>
      </c>
      <c r="C154" s="125">
        <f t="shared" si="60"/>
        <v>43194</v>
      </c>
      <c r="D154" s="125">
        <f t="shared" si="60"/>
        <v>43209</v>
      </c>
      <c r="E154" s="70" t="s">
        <v>54</v>
      </c>
      <c r="F154" s="3">
        <v>9</v>
      </c>
      <c r="G154" s="194">
        <v>92</v>
      </c>
      <c r="H154" s="126">
        <f t="shared" si="50"/>
        <v>1817.43</v>
      </c>
      <c r="I154" s="126">
        <f t="shared" si="51"/>
        <v>1393.46</v>
      </c>
      <c r="J154" s="28">
        <f t="shared" si="53"/>
        <v>128198.32</v>
      </c>
      <c r="K154" s="29">
        <f t="shared" si="47"/>
        <v>167203.56</v>
      </c>
      <c r="L154" s="30">
        <f>+J154-K154</f>
        <v>-39005.23999999999</v>
      </c>
      <c r="M154" s="27">
        <f t="shared" si="54"/>
        <v>-1924.2091132740275</v>
      </c>
      <c r="N154" s="19">
        <f t="shared" si="55"/>
        <v>-40929.449113274015</v>
      </c>
      <c r="O154" s="27">
        <f t="shared" si="56"/>
        <v>1637.91</v>
      </c>
      <c r="P154" s="27">
        <f t="shared" si="57"/>
        <v>150687.72</v>
      </c>
      <c r="Q154" s="27">
        <f t="shared" si="58"/>
        <v>-16515.839999999997</v>
      </c>
      <c r="R154" s="19">
        <f t="shared" si="59"/>
        <v>-24413.60911327402</v>
      </c>
    </row>
    <row r="155" spans="1:18" ht="12.75">
      <c r="A155" s="10">
        <v>4</v>
      </c>
      <c r="B155" s="9">
        <f t="shared" si="52"/>
        <v>43191</v>
      </c>
      <c r="C155" s="125">
        <f t="shared" si="60"/>
        <v>43223</v>
      </c>
      <c r="D155" s="125">
        <f t="shared" si="60"/>
        <v>43238</v>
      </c>
      <c r="E155" s="70" t="s">
        <v>54</v>
      </c>
      <c r="F155" s="3">
        <v>9</v>
      </c>
      <c r="G155" s="194">
        <v>86</v>
      </c>
      <c r="H155" s="126">
        <f t="shared" si="50"/>
        <v>1817.43</v>
      </c>
      <c r="I155" s="126">
        <f t="shared" si="51"/>
        <v>1393.46</v>
      </c>
      <c r="J155" s="28">
        <f t="shared" si="53"/>
        <v>119837.56</v>
      </c>
      <c r="K155" s="29">
        <f t="shared" si="47"/>
        <v>156298.98</v>
      </c>
      <c r="L155" s="30">
        <f aca="true" t="shared" si="61" ref="L155:L165">+J155-K155</f>
        <v>-36461.42000000001</v>
      </c>
      <c r="M155" s="27">
        <f t="shared" si="54"/>
        <v>-1798.717214582243</v>
      </c>
      <c r="N155" s="19">
        <f t="shared" si="55"/>
        <v>-38260.13721458225</v>
      </c>
      <c r="O155" s="27">
        <f t="shared" si="56"/>
        <v>1637.91</v>
      </c>
      <c r="P155" s="27">
        <f t="shared" si="57"/>
        <v>140860.26</v>
      </c>
      <c r="Q155" s="27">
        <f t="shared" si="58"/>
        <v>-15438.720000000001</v>
      </c>
      <c r="R155" s="19">
        <f t="shared" si="59"/>
        <v>-22821.417214582252</v>
      </c>
    </row>
    <row r="156" spans="1:18" ht="12.75">
      <c r="A156" s="3">
        <v>5</v>
      </c>
      <c r="B156" s="9">
        <f t="shared" si="52"/>
        <v>43221</v>
      </c>
      <c r="C156" s="125">
        <f t="shared" si="60"/>
        <v>43256</v>
      </c>
      <c r="D156" s="125">
        <f t="shared" si="60"/>
        <v>43271</v>
      </c>
      <c r="E156" s="70" t="s">
        <v>54</v>
      </c>
      <c r="F156" s="3">
        <v>9</v>
      </c>
      <c r="G156" s="194">
        <v>139</v>
      </c>
      <c r="H156" s="126">
        <f t="shared" si="50"/>
        <v>1817.43</v>
      </c>
      <c r="I156" s="126">
        <f t="shared" si="51"/>
        <v>1393.46</v>
      </c>
      <c r="J156" s="28">
        <f t="shared" si="53"/>
        <v>193690.94</v>
      </c>
      <c r="K156" s="29">
        <f t="shared" si="47"/>
        <v>252622.77000000002</v>
      </c>
      <c r="L156" s="30">
        <f t="shared" si="61"/>
        <v>-58931.830000000016</v>
      </c>
      <c r="M156" s="27">
        <f t="shared" si="54"/>
        <v>-2907.2289863596716</v>
      </c>
      <c r="N156" s="19">
        <f t="shared" si="55"/>
        <v>-61839.05898635969</v>
      </c>
      <c r="O156" s="27">
        <f t="shared" si="56"/>
        <v>1637.91</v>
      </c>
      <c r="P156" s="27">
        <f t="shared" si="57"/>
        <v>227669.49000000002</v>
      </c>
      <c r="Q156" s="27">
        <f t="shared" si="58"/>
        <v>-24953.28</v>
      </c>
      <c r="R156" s="19">
        <f t="shared" si="59"/>
        <v>-36885.77898635969</v>
      </c>
    </row>
    <row r="157" spans="1:18" ht="12.75">
      <c r="A157" s="3">
        <v>6</v>
      </c>
      <c r="B157" s="9">
        <f t="shared" si="52"/>
        <v>43252</v>
      </c>
      <c r="C157" s="125">
        <f t="shared" si="60"/>
        <v>43286</v>
      </c>
      <c r="D157" s="125">
        <f t="shared" si="60"/>
        <v>43301</v>
      </c>
      <c r="E157" s="70" t="s">
        <v>54</v>
      </c>
      <c r="F157" s="3">
        <v>9</v>
      </c>
      <c r="G157" s="194">
        <v>158</v>
      </c>
      <c r="H157" s="126">
        <f t="shared" si="50"/>
        <v>1817.43</v>
      </c>
      <c r="I157" s="126">
        <f t="shared" si="51"/>
        <v>1393.46</v>
      </c>
      <c r="J157" s="28">
        <f t="shared" si="53"/>
        <v>220166.68</v>
      </c>
      <c r="K157" s="29">
        <f t="shared" si="47"/>
        <v>287153.94</v>
      </c>
      <c r="L157" s="39">
        <f t="shared" si="61"/>
        <v>-66987.26000000001</v>
      </c>
      <c r="M157" s="27">
        <f t="shared" si="54"/>
        <v>-3304.6199988836556</v>
      </c>
      <c r="N157" s="19">
        <f t="shared" si="55"/>
        <v>-70291.87999888367</v>
      </c>
      <c r="O157" s="27">
        <f t="shared" si="56"/>
        <v>1637.91</v>
      </c>
      <c r="P157" s="27">
        <f t="shared" si="57"/>
        <v>258789.78</v>
      </c>
      <c r="Q157" s="27">
        <f t="shared" si="58"/>
        <v>-28364.160000000003</v>
      </c>
      <c r="R157" s="19">
        <f t="shared" si="59"/>
        <v>-41927.719998883666</v>
      </c>
    </row>
    <row r="158" spans="1:18" ht="12.75">
      <c r="A158" s="10">
        <v>7</v>
      </c>
      <c r="B158" s="9">
        <f t="shared" si="52"/>
        <v>43282</v>
      </c>
      <c r="C158" s="125">
        <f t="shared" si="60"/>
        <v>43315</v>
      </c>
      <c r="D158" s="125">
        <f t="shared" si="60"/>
        <v>43330</v>
      </c>
      <c r="E158" s="70" t="s">
        <v>54</v>
      </c>
      <c r="F158" s="3">
        <v>9</v>
      </c>
      <c r="G158" s="194">
        <v>162</v>
      </c>
      <c r="H158" s="126">
        <f t="shared" si="50"/>
        <v>1817.43</v>
      </c>
      <c r="I158" s="126">
        <f t="shared" si="51"/>
        <v>1393.46</v>
      </c>
      <c r="J158" s="28">
        <f t="shared" si="53"/>
        <v>225740.52000000002</v>
      </c>
      <c r="K158" s="37">
        <f t="shared" si="47"/>
        <v>294423.66000000003</v>
      </c>
      <c r="L158" s="39">
        <f t="shared" si="61"/>
        <v>-68683.14000000001</v>
      </c>
      <c r="M158" s="27">
        <f t="shared" si="54"/>
        <v>-3388.2812646781786</v>
      </c>
      <c r="N158" s="19">
        <f t="shared" si="55"/>
        <v>-72071.4212646782</v>
      </c>
      <c r="O158" s="27">
        <f t="shared" si="56"/>
        <v>1637.91</v>
      </c>
      <c r="P158" s="27">
        <f t="shared" si="57"/>
        <v>265341.42000000004</v>
      </c>
      <c r="Q158" s="27">
        <f t="shared" si="58"/>
        <v>-29082.23999999999</v>
      </c>
      <c r="R158" s="19">
        <f t="shared" si="59"/>
        <v>-42989.181264678205</v>
      </c>
    </row>
    <row r="159" spans="1:19" ht="12.75">
      <c r="A159" s="3">
        <v>8</v>
      </c>
      <c r="B159" s="9">
        <f t="shared" si="52"/>
        <v>43313</v>
      </c>
      <c r="C159" s="125">
        <f t="shared" si="60"/>
        <v>43348</v>
      </c>
      <c r="D159" s="125">
        <f t="shared" si="60"/>
        <v>43363</v>
      </c>
      <c r="E159" s="70" t="s">
        <v>54</v>
      </c>
      <c r="F159" s="10">
        <v>9</v>
      </c>
      <c r="G159" s="194">
        <v>144</v>
      </c>
      <c r="H159" s="126">
        <f t="shared" si="50"/>
        <v>1817.43</v>
      </c>
      <c r="I159" s="126">
        <f t="shared" si="51"/>
        <v>1393.46</v>
      </c>
      <c r="J159" s="28">
        <f t="shared" si="53"/>
        <v>200658.24</v>
      </c>
      <c r="K159" s="37">
        <f t="shared" si="47"/>
        <v>261709.92</v>
      </c>
      <c r="L159" s="39">
        <f t="shared" si="61"/>
        <v>-61051.68000000002</v>
      </c>
      <c r="M159" s="27">
        <f t="shared" si="54"/>
        <v>-3011.8055686028256</v>
      </c>
      <c r="N159" s="19">
        <f t="shared" si="55"/>
        <v>-64063.485568602846</v>
      </c>
      <c r="O159" s="27">
        <f t="shared" si="56"/>
        <v>1637.91</v>
      </c>
      <c r="P159" s="27">
        <f t="shared" si="57"/>
        <v>235859.04</v>
      </c>
      <c r="Q159" s="27">
        <f t="shared" si="58"/>
        <v>-25850.880000000005</v>
      </c>
      <c r="R159" s="19">
        <f t="shared" si="59"/>
        <v>-38212.60556860284</v>
      </c>
      <c r="S159" s="8"/>
    </row>
    <row r="160" spans="1:18" ht="12.75">
      <c r="A160" s="3">
        <v>9</v>
      </c>
      <c r="B160" s="9">
        <f t="shared" si="52"/>
        <v>43344</v>
      </c>
      <c r="C160" s="125">
        <f t="shared" si="60"/>
        <v>43376</v>
      </c>
      <c r="D160" s="125">
        <f t="shared" si="60"/>
        <v>43391</v>
      </c>
      <c r="E160" s="70" t="s">
        <v>54</v>
      </c>
      <c r="F160" s="10">
        <v>9</v>
      </c>
      <c r="G160" s="194">
        <v>150</v>
      </c>
      <c r="H160" s="126">
        <f t="shared" si="50"/>
        <v>1817.43</v>
      </c>
      <c r="I160" s="126">
        <f t="shared" si="51"/>
        <v>1393.46</v>
      </c>
      <c r="J160" s="28">
        <f t="shared" si="53"/>
        <v>209019</v>
      </c>
      <c r="K160" s="37">
        <f t="shared" si="47"/>
        <v>272614.5</v>
      </c>
      <c r="L160" s="39">
        <f t="shared" si="61"/>
        <v>-63595.5</v>
      </c>
      <c r="M160" s="27">
        <f t="shared" si="54"/>
        <v>-3137.2974672946098</v>
      </c>
      <c r="N160" s="19">
        <f t="shared" si="55"/>
        <v>-66732.79746729461</v>
      </c>
      <c r="O160" s="27">
        <f t="shared" si="56"/>
        <v>1637.91</v>
      </c>
      <c r="P160" s="27">
        <f t="shared" si="57"/>
        <v>245686.5</v>
      </c>
      <c r="Q160" s="27">
        <f t="shared" si="58"/>
        <v>-26928</v>
      </c>
      <c r="R160" s="19">
        <f t="shared" si="59"/>
        <v>-39804.797467294615</v>
      </c>
    </row>
    <row r="161" spans="1:18" ht="12.75">
      <c r="A161" s="10">
        <v>10</v>
      </c>
      <c r="B161" s="9">
        <f t="shared" si="52"/>
        <v>43374</v>
      </c>
      <c r="C161" s="125">
        <f t="shared" si="60"/>
        <v>43409</v>
      </c>
      <c r="D161" s="125">
        <f t="shared" si="60"/>
        <v>43424</v>
      </c>
      <c r="E161" s="70" t="s">
        <v>54</v>
      </c>
      <c r="F161" s="10">
        <v>9</v>
      </c>
      <c r="G161" s="194">
        <v>123</v>
      </c>
      <c r="H161" s="126">
        <f t="shared" si="50"/>
        <v>1817.43</v>
      </c>
      <c r="I161" s="126">
        <f t="shared" si="51"/>
        <v>1393.46</v>
      </c>
      <c r="J161" s="28">
        <f t="shared" si="53"/>
        <v>171395.58000000002</v>
      </c>
      <c r="K161" s="37">
        <f t="shared" si="47"/>
        <v>223543.89</v>
      </c>
      <c r="L161" s="39">
        <f t="shared" si="61"/>
        <v>-52148.31</v>
      </c>
      <c r="M161" s="27">
        <f t="shared" si="54"/>
        <v>-2572.58392318158</v>
      </c>
      <c r="N161" s="19">
        <f t="shared" si="55"/>
        <v>-54720.893923181575</v>
      </c>
      <c r="O161" s="27">
        <f t="shared" si="56"/>
        <v>1637.91</v>
      </c>
      <c r="P161" s="27">
        <f t="shared" si="57"/>
        <v>201462.93000000002</v>
      </c>
      <c r="Q161" s="27">
        <f t="shared" si="58"/>
        <v>-22080.959999999992</v>
      </c>
      <c r="R161" s="19">
        <f t="shared" si="59"/>
        <v>-32639.933923181583</v>
      </c>
    </row>
    <row r="162" spans="1:18" ht="12.75">
      <c r="A162" s="3">
        <v>11</v>
      </c>
      <c r="B162" s="9">
        <f t="shared" si="52"/>
        <v>43405</v>
      </c>
      <c r="C162" s="125">
        <f t="shared" si="60"/>
        <v>43439</v>
      </c>
      <c r="D162" s="125">
        <f t="shared" si="60"/>
        <v>43454</v>
      </c>
      <c r="E162" s="70" t="s">
        <v>54</v>
      </c>
      <c r="F162" s="10">
        <v>9</v>
      </c>
      <c r="G162" s="194">
        <v>102</v>
      </c>
      <c r="H162" s="126">
        <f t="shared" si="50"/>
        <v>1817.43</v>
      </c>
      <c r="I162" s="126">
        <f t="shared" si="51"/>
        <v>1393.46</v>
      </c>
      <c r="J162" s="28">
        <f t="shared" si="53"/>
        <v>142132.92</v>
      </c>
      <c r="K162" s="37">
        <f t="shared" si="47"/>
        <v>185377.86000000002</v>
      </c>
      <c r="L162" s="39">
        <f t="shared" si="61"/>
        <v>-43244.94</v>
      </c>
      <c r="M162" s="27">
        <f t="shared" si="54"/>
        <v>-2133.362277760335</v>
      </c>
      <c r="N162" s="19">
        <f t="shared" si="55"/>
        <v>-45378.30227776034</v>
      </c>
      <c r="O162" s="27">
        <f t="shared" si="56"/>
        <v>1637.91</v>
      </c>
      <c r="P162" s="27">
        <f t="shared" si="57"/>
        <v>167066.82</v>
      </c>
      <c r="Q162" s="27">
        <f t="shared" si="58"/>
        <v>-18311.040000000008</v>
      </c>
      <c r="R162" s="19">
        <f t="shared" si="59"/>
        <v>-27067.262277760332</v>
      </c>
    </row>
    <row r="163" spans="1:18" s="34" customFormat="1" ht="12.75">
      <c r="A163" s="3">
        <v>12</v>
      </c>
      <c r="B163" s="44">
        <f t="shared" si="52"/>
        <v>43435</v>
      </c>
      <c r="C163" s="125">
        <f t="shared" si="60"/>
        <v>43468</v>
      </c>
      <c r="D163" s="125">
        <f t="shared" si="60"/>
        <v>43483</v>
      </c>
      <c r="E163" s="71" t="s">
        <v>54</v>
      </c>
      <c r="F163" s="42">
        <v>9</v>
      </c>
      <c r="G163" s="195">
        <v>103</v>
      </c>
      <c r="H163" s="126">
        <f t="shared" si="50"/>
        <v>1817.43</v>
      </c>
      <c r="I163" s="127">
        <f t="shared" si="51"/>
        <v>1393.46</v>
      </c>
      <c r="J163" s="46">
        <f t="shared" si="53"/>
        <v>143526.38</v>
      </c>
      <c r="K163" s="47">
        <f t="shared" si="47"/>
        <v>187195.29</v>
      </c>
      <c r="L163" s="48">
        <f t="shared" si="61"/>
        <v>-43668.91</v>
      </c>
      <c r="M163" s="27">
        <f t="shared" si="54"/>
        <v>-2154.277594208965</v>
      </c>
      <c r="N163" s="19">
        <f t="shared" si="55"/>
        <v>-45823.18759420897</v>
      </c>
      <c r="O163" s="27">
        <f t="shared" si="56"/>
        <v>1637.91</v>
      </c>
      <c r="P163" s="27">
        <f t="shared" si="57"/>
        <v>168704.73</v>
      </c>
      <c r="Q163" s="27">
        <f t="shared" si="58"/>
        <v>-18490.559999999998</v>
      </c>
      <c r="R163" s="19">
        <f t="shared" si="59"/>
        <v>-27332.62759420897</v>
      </c>
    </row>
    <row r="164" spans="1:18" ht="12.75">
      <c r="A164" s="10">
        <v>1</v>
      </c>
      <c r="B164" s="9">
        <f t="shared" si="52"/>
        <v>43101</v>
      </c>
      <c r="C164" s="124">
        <f t="shared" si="60"/>
        <v>43136</v>
      </c>
      <c r="D164" s="124">
        <f t="shared" si="60"/>
        <v>43151</v>
      </c>
      <c r="E164" s="59" t="s">
        <v>55</v>
      </c>
      <c r="F164" s="10">
        <v>9</v>
      </c>
      <c r="G164" s="194">
        <v>9</v>
      </c>
      <c r="H164" s="126">
        <f t="shared" si="50"/>
        <v>1817.43</v>
      </c>
      <c r="I164" s="126">
        <f t="shared" si="51"/>
        <v>1393.46</v>
      </c>
      <c r="J164" s="28">
        <f t="shared" si="53"/>
        <v>12541.14</v>
      </c>
      <c r="K164" s="29">
        <f t="shared" si="47"/>
        <v>16356.87</v>
      </c>
      <c r="L164" s="30">
        <f t="shared" si="61"/>
        <v>-3815.7300000000014</v>
      </c>
      <c r="M164" s="27">
        <f t="shared" si="54"/>
        <v>-188.2378480376766</v>
      </c>
      <c r="N164" s="19">
        <f t="shared" si="55"/>
        <v>-4003.967848037678</v>
      </c>
      <c r="O164" s="27">
        <f t="shared" si="56"/>
        <v>1637.91</v>
      </c>
      <c r="P164" s="27">
        <f t="shared" si="57"/>
        <v>14741.19</v>
      </c>
      <c r="Q164" s="27">
        <f t="shared" si="58"/>
        <v>-1615.6800000000003</v>
      </c>
      <c r="R164" s="19">
        <f t="shared" si="59"/>
        <v>-2388.2878480376776</v>
      </c>
    </row>
    <row r="165" spans="1:18" ht="12.75">
      <c r="A165" s="3">
        <v>2</v>
      </c>
      <c r="B165" s="9">
        <f t="shared" si="52"/>
        <v>43132</v>
      </c>
      <c r="C165" s="125">
        <f t="shared" si="60"/>
        <v>43164</v>
      </c>
      <c r="D165" s="125">
        <f t="shared" si="60"/>
        <v>43179</v>
      </c>
      <c r="E165" s="70" t="s">
        <v>55</v>
      </c>
      <c r="F165" s="3">
        <v>9</v>
      </c>
      <c r="G165" s="194">
        <v>9</v>
      </c>
      <c r="H165" s="126">
        <f t="shared" si="50"/>
        <v>1817.43</v>
      </c>
      <c r="I165" s="126">
        <f t="shared" si="51"/>
        <v>1393.46</v>
      </c>
      <c r="J165" s="28">
        <f t="shared" si="53"/>
        <v>12541.14</v>
      </c>
      <c r="K165" s="29">
        <f t="shared" si="47"/>
        <v>16356.87</v>
      </c>
      <c r="L165" s="30">
        <f t="shared" si="61"/>
        <v>-3815.7300000000014</v>
      </c>
      <c r="M165" s="27">
        <f t="shared" si="54"/>
        <v>-188.2378480376766</v>
      </c>
      <c r="N165" s="19">
        <f t="shared" si="55"/>
        <v>-4003.967848037678</v>
      </c>
      <c r="O165" s="27">
        <f t="shared" si="56"/>
        <v>1637.91</v>
      </c>
      <c r="P165" s="27">
        <f t="shared" si="57"/>
        <v>14741.19</v>
      </c>
      <c r="Q165" s="27">
        <f t="shared" si="58"/>
        <v>-1615.6800000000003</v>
      </c>
      <c r="R165" s="19">
        <f t="shared" si="59"/>
        <v>-2388.2878480376776</v>
      </c>
    </row>
    <row r="166" spans="1:18" ht="12.75">
      <c r="A166" s="3">
        <v>3</v>
      </c>
      <c r="B166" s="9">
        <f t="shared" si="52"/>
        <v>43160</v>
      </c>
      <c r="C166" s="125">
        <f t="shared" si="60"/>
        <v>43194</v>
      </c>
      <c r="D166" s="125">
        <f t="shared" si="60"/>
        <v>43209</v>
      </c>
      <c r="E166" s="70" t="s">
        <v>55</v>
      </c>
      <c r="F166" s="3">
        <v>9</v>
      </c>
      <c r="G166" s="194">
        <v>9</v>
      </c>
      <c r="H166" s="126">
        <f t="shared" si="50"/>
        <v>1817.43</v>
      </c>
      <c r="I166" s="126">
        <f t="shared" si="51"/>
        <v>1393.46</v>
      </c>
      <c r="J166" s="28">
        <f t="shared" si="53"/>
        <v>12541.14</v>
      </c>
      <c r="K166" s="29">
        <f t="shared" si="47"/>
        <v>16356.87</v>
      </c>
      <c r="L166" s="30">
        <f>+J166-K166</f>
        <v>-3815.7300000000014</v>
      </c>
      <c r="M166" s="27">
        <f t="shared" si="54"/>
        <v>-188.2378480376766</v>
      </c>
      <c r="N166" s="19">
        <f t="shared" si="55"/>
        <v>-4003.967848037678</v>
      </c>
      <c r="O166" s="27">
        <f t="shared" si="56"/>
        <v>1637.91</v>
      </c>
      <c r="P166" s="27">
        <f t="shared" si="57"/>
        <v>14741.19</v>
      </c>
      <c r="Q166" s="27">
        <f t="shared" si="58"/>
        <v>-1615.6800000000003</v>
      </c>
      <c r="R166" s="19">
        <f t="shared" si="59"/>
        <v>-2388.2878480376776</v>
      </c>
    </row>
    <row r="167" spans="1:18" ht="12.75">
      <c r="A167" s="10">
        <v>4</v>
      </c>
      <c r="B167" s="9">
        <f t="shared" si="52"/>
        <v>43191</v>
      </c>
      <c r="C167" s="125">
        <f t="shared" si="60"/>
        <v>43223</v>
      </c>
      <c r="D167" s="125">
        <f t="shared" si="60"/>
        <v>43238</v>
      </c>
      <c r="E167" s="70" t="s">
        <v>55</v>
      </c>
      <c r="F167" s="3">
        <v>9</v>
      </c>
      <c r="G167" s="194">
        <v>10</v>
      </c>
      <c r="H167" s="126">
        <f t="shared" si="50"/>
        <v>1817.43</v>
      </c>
      <c r="I167" s="126">
        <f t="shared" si="51"/>
        <v>1393.46</v>
      </c>
      <c r="J167" s="28">
        <f t="shared" si="53"/>
        <v>13934.6</v>
      </c>
      <c r="K167" s="29">
        <f t="shared" si="47"/>
        <v>18174.3</v>
      </c>
      <c r="L167" s="30">
        <f aca="true" t="shared" si="62" ref="L167:L177">+J167-K167</f>
        <v>-4239.699999999999</v>
      </c>
      <c r="M167" s="27">
        <f t="shared" si="54"/>
        <v>-209.15316448630733</v>
      </c>
      <c r="N167" s="19">
        <f t="shared" si="55"/>
        <v>-4448.853164486306</v>
      </c>
      <c r="O167" s="27">
        <f t="shared" si="56"/>
        <v>1637.91</v>
      </c>
      <c r="P167" s="27">
        <f t="shared" si="57"/>
        <v>16379.1</v>
      </c>
      <c r="Q167" s="27">
        <f t="shared" si="58"/>
        <v>-1795.199999999999</v>
      </c>
      <c r="R167" s="19">
        <f t="shared" si="59"/>
        <v>-2653.653164486307</v>
      </c>
    </row>
    <row r="168" spans="1:18" ht="12.75">
      <c r="A168" s="3">
        <v>5</v>
      </c>
      <c r="B168" s="9">
        <f t="shared" si="52"/>
        <v>43221</v>
      </c>
      <c r="C168" s="125">
        <f t="shared" si="60"/>
        <v>43256</v>
      </c>
      <c r="D168" s="125">
        <f t="shared" si="60"/>
        <v>43271</v>
      </c>
      <c r="E168" s="70" t="s">
        <v>55</v>
      </c>
      <c r="F168" s="3">
        <v>9</v>
      </c>
      <c r="G168" s="194">
        <v>9</v>
      </c>
      <c r="H168" s="126">
        <f t="shared" si="50"/>
        <v>1817.43</v>
      </c>
      <c r="I168" s="126">
        <f t="shared" si="51"/>
        <v>1393.46</v>
      </c>
      <c r="J168" s="28">
        <f t="shared" si="53"/>
        <v>12541.14</v>
      </c>
      <c r="K168" s="29">
        <f t="shared" si="47"/>
        <v>16356.87</v>
      </c>
      <c r="L168" s="30">
        <f t="shared" si="62"/>
        <v>-3815.7300000000014</v>
      </c>
      <c r="M168" s="27">
        <f t="shared" si="54"/>
        <v>-188.2378480376766</v>
      </c>
      <c r="N168" s="19">
        <f t="shared" si="55"/>
        <v>-4003.967848037678</v>
      </c>
      <c r="O168" s="27">
        <f t="shared" si="56"/>
        <v>1637.91</v>
      </c>
      <c r="P168" s="27">
        <f t="shared" si="57"/>
        <v>14741.19</v>
      </c>
      <c r="Q168" s="27">
        <f t="shared" si="58"/>
        <v>-1615.6800000000003</v>
      </c>
      <c r="R168" s="19">
        <f t="shared" si="59"/>
        <v>-2388.2878480376776</v>
      </c>
    </row>
    <row r="169" spans="1:18" ht="12.75">
      <c r="A169" s="3">
        <v>6</v>
      </c>
      <c r="B169" s="9">
        <f t="shared" si="52"/>
        <v>43252</v>
      </c>
      <c r="C169" s="125">
        <f t="shared" si="60"/>
        <v>43286</v>
      </c>
      <c r="D169" s="125">
        <f t="shared" si="60"/>
        <v>43301</v>
      </c>
      <c r="E169" s="70" t="s">
        <v>55</v>
      </c>
      <c r="F169" s="3">
        <v>9</v>
      </c>
      <c r="G169" s="194">
        <v>14</v>
      </c>
      <c r="H169" s="126">
        <f t="shared" si="50"/>
        <v>1817.43</v>
      </c>
      <c r="I169" s="126">
        <f t="shared" si="51"/>
        <v>1393.46</v>
      </c>
      <c r="J169" s="28">
        <f t="shared" si="53"/>
        <v>19508.440000000002</v>
      </c>
      <c r="K169" s="29">
        <f t="shared" si="47"/>
        <v>25444.02</v>
      </c>
      <c r="L169" s="39">
        <f t="shared" si="62"/>
        <v>-5935.579999999998</v>
      </c>
      <c r="M169" s="27">
        <f t="shared" si="54"/>
        <v>-292.81443028083027</v>
      </c>
      <c r="N169" s="19">
        <f t="shared" si="55"/>
        <v>-6228.394430280829</v>
      </c>
      <c r="O169" s="27">
        <f t="shared" si="56"/>
        <v>1637.91</v>
      </c>
      <c r="P169" s="27">
        <f t="shared" si="57"/>
        <v>22930.74</v>
      </c>
      <c r="Q169" s="27">
        <f t="shared" si="58"/>
        <v>-2513.279999999999</v>
      </c>
      <c r="R169" s="19">
        <f t="shared" si="59"/>
        <v>-3715.1144302808298</v>
      </c>
    </row>
    <row r="170" spans="1:18" ht="12.75">
      <c r="A170" s="10">
        <v>7</v>
      </c>
      <c r="B170" s="9">
        <f t="shared" si="52"/>
        <v>43282</v>
      </c>
      <c r="C170" s="125">
        <f t="shared" si="60"/>
        <v>43315</v>
      </c>
      <c r="D170" s="125">
        <f t="shared" si="60"/>
        <v>43330</v>
      </c>
      <c r="E170" s="70" t="s">
        <v>55</v>
      </c>
      <c r="F170" s="3">
        <v>9</v>
      </c>
      <c r="G170" s="194">
        <v>15</v>
      </c>
      <c r="H170" s="126">
        <f t="shared" si="50"/>
        <v>1817.43</v>
      </c>
      <c r="I170" s="126">
        <f t="shared" si="51"/>
        <v>1393.46</v>
      </c>
      <c r="J170" s="28">
        <f t="shared" si="53"/>
        <v>20901.9</v>
      </c>
      <c r="K170" s="37">
        <f t="shared" si="47"/>
        <v>27261.45</v>
      </c>
      <c r="L170" s="39">
        <f t="shared" si="62"/>
        <v>-6359.549999999999</v>
      </c>
      <c r="M170" s="27">
        <f t="shared" si="54"/>
        <v>-313.729746729461</v>
      </c>
      <c r="N170" s="19">
        <f t="shared" si="55"/>
        <v>-6673.27974672946</v>
      </c>
      <c r="O170" s="27">
        <f t="shared" si="56"/>
        <v>1637.91</v>
      </c>
      <c r="P170" s="27">
        <f t="shared" si="57"/>
        <v>24568.65</v>
      </c>
      <c r="Q170" s="27">
        <f t="shared" si="58"/>
        <v>-2692.7999999999993</v>
      </c>
      <c r="R170" s="19">
        <f t="shared" si="59"/>
        <v>-3980.479746729461</v>
      </c>
    </row>
    <row r="171" spans="1:19" ht="12.75">
      <c r="A171" s="3">
        <v>8</v>
      </c>
      <c r="B171" s="9">
        <f t="shared" si="52"/>
        <v>43313</v>
      </c>
      <c r="C171" s="125">
        <f t="shared" si="60"/>
        <v>43348</v>
      </c>
      <c r="D171" s="125">
        <f t="shared" si="60"/>
        <v>43363</v>
      </c>
      <c r="E171" s="70" t="s">
        <v>55</v>
      </c>
      <c r="F171" s="10">
        <v>9</v>
      </c>
      <c r="G171" s="194">
        <v>14</v>
      </c>
      <c r="H171" s="126">
        <f t="shared" si="50"/>
        <v>1817.43</v>
      </c>
      <c r="I171" s="126">
        <f t="shared" si="51"/>
        <v>1393.46</v>
      </c>
      <c r="J171" s="28">
        <f t="shared" si="53"/>
        <v>19508.440000000002</v>
      </c>
      <c r="K171" s="37">
        <f t="shared" si="47"/>
        <v>25444.02</v>
      </c>
      <c r="L171" s="39">
        <f t="shared" si="62"/>
        <v>-5935.579999999998</v>
      </c>
      <c r="M171" s="27">
        <f t="shared" si="54"/>
        <v>-292.81443028083027</v>
      </c>
      <c r="N171" s="19">
        <f t="shared" si="55"/>
        <v>-6228.394430280829</v>
      </c>
      <c r="O171" s="27">
        <f t="shared" si="56"/>
        <v>1637.91</v>
      </c>
      <c r="P171" s="27">
        <f t="shared" si="57"/>
        <v>22930.74</v>
      </c>
      <c r="Q171" s="27">
        <f t="shared" si="58"/>
        <v>-2513.279999999999</v>
      </c>
      <c r="R171" s="19">
        <f t="shared" si="59"/>
        <v>-3715.1144302808298</v>
      </c>
      <c r="S171" s="8"/>
    </row>
    <row r="172" spans="1:18" ht="12.75">
      <c r="A172" s="3">
        <v>9</v>
      </c>
      <c r="B172" s="9">
        <f t="shared" si="52"/>
        <v>43344</v>
      </c>
      <c r="C172" s="125">
        <f aca="true" t="shared" si="63" ref="C172:D175">+C160</f>
        <v>43376</v>
      </c>
      <c r="D172" s="125">
        <f t="shared" si="63"/>
        <v>43391</v>
      </c>
      <c r="E172" s="70" t="s">
        <v>55</v>
      </c>
      <c r="F172" s="10">
        <v>9</v>
      </c>
      <c r="G172" s="194">
        <v>13</v>
      </c>
      <c r="H172" s="126">
        <f t="shared" si="50"/>
        <v>1817.43</v>
      </c>
      <c r="I172" s="126">
        <f t="shared" si="51"/>
        <v>1393.46</v>
      </c>
      <c r="J172" s="28">
        <f t="shared" si="53"/>
        <v>18114.98</v>
      </c>
      <c r="K172" s="37">
        <f t="shared" si="47"/>
        <v>23626.59</v>
      </c>
      <c r="L172" s="39">
        <f t="shared" si="62"/>
        <v>-5511.610000000001</v>
      </c>
      <c r="M172" s="27">
        <f t="shared" si="54"/>
        <v>-271.89911383219953</v>
      </c>
      <c r="N172" s="19">
        <f t="shared" si="55"/>
        <v>-5783.5091138322005</v>
      </c>
      <c r="O172" s="27">
        <f t="shared" si="56"/>
        <v>1637.91</v>
      </c>
      <c r="P172" s="27">
        <f t="shared" si="57"/>
        <v>21292.83</v>
      </c>
      <c r="Q172" s="27">
        <f t="shared" si="58"/>
        <v>-2333.7599999999984</v>
      </c>
      <c r="R172" s="19">
        <f t="shared" si="59"/>
        <v>-3449.749113832202</v>
      </c>
    </row>
    <row r="173" spans="1:18" ht="12.75">
      <c r="A173" s="10">
        <v>10</v>
      </c>
      <c r="B173" s="9">
        <f t="shared" si="52"/>
        <v>43374</v>
      </c>
      <c r="C173" s="125">
        <f t="shared" si="63"/>
        <v>43409</v>
      </c>
      <c r="D173" s="125">
        <f t="shared" si="63"/>
        <v>43424</v>
      </c>
      <c r="E173" s="70" t="s">
        <v>55</v>
      </c>
      <c r="F173" s="10">
        <v>9</v>
      </c>
      <c r="G173" s="194">
        <v>13</v>
      </c>
      <c r="H173" s="126">
        <f t="shared" si="50"/>
        <v>1817.43</v>
      </c>
      <c r="I173" s="126">
        <f t="shared" si="51"/>
        <v>1393.46</v>
      </c>
      <c r="J173" s="28">
        <f t="shared" si="53"/>
        <v>18114.98</v>
      </c>
      <c r="K173" s="37">
        <f t="shared" si="47"/>
        <v>23626.59</v>
      </c>
      <c r="L173" s="39">
        <f t="shared" si="62"/>
        <v>-5511.610000000001</v>
      </c>
      <c r="M173" s="27">
        <f t="shared" si="54"/>
        <v>-271.89911383219953</v>
      </c>
      <c r="N173" s="19">
        <f t="shared" si="55"/>
        <v>-5783.5091138322005</v>
      </c>
      <c r="O173" s="27">
        <f t="shared" si="56"/>
        <v>1637.91</v>
      </c>
      <c r="P173" s="27">
        <f t="shared" si="57"/>
        <v>21292.83</v>
      </c>
      <c r="Q173" s="27">
        <f t="shared" si="58"/>
        <v>-2333.7599999999984</v>
      </c>
      <c r="R173" s="19">
        <f t="shared" si="59"/>
        <v>-3449.749113832202</v>
      </c>
    </row>
    <row r="174" spans="1:18" ht="12.75">
      <c r="A174" s="3">
        <v>11</v>
      </c>
      <c r="B174" s="9">
        <f t="shared" si="52"/>
        <v>43405</v>
      </c>
      <c r="C174" s="125">
        <f t="shared" si="63"/>
        <v>43439</v>
      </c>
      <c r="D174" s="125">
        <f t="shared" si="63"/>
        <v>43454</v>
      </c>
      <c r="E174" s="70" t="s">
        <v>55</v>
      </c>
      <c r="F174" s="10">
        <v>9</v>
      </c>
      <c r="G174" s="194">
        <v>5</v>
      </c>
      <c r="H174" s="126">
        <f t="shared" si="50"/>
        <v>1817.43</v>
      </c>
      <c r="I174" s="126">
        <f t="shared" si="51"/>
        <v>1393.46</v>
      </c>
      <c r="J174" s="28">
        <f t="shared" si="53"/>
        <v>6967.3</v>
      </c>
      <c r="K174" s="37">
        <f t="shared" si="47"/>
        <v>9087.15</v>
      </c>
      <c r="L174" s="39">
        <f t="shared" si="62"/>
        <v>-2119.8499999999995</v>
      </c>
      <c r="M174" s="27">
        <f t="shared" si="54"/>
        <v>-104.57658224315367</v>
      </c>
      <c r="N174" s="19">
        <f t="shared" si="55"/>
        <v>-2224.426582243153</v>
      </c>
      <c r="O174" s="27">
        <f t="shared" si="56"/>
        <v>1637.91</v>
      </c>
      <c r="P174" s="27">
        <f t="shared" si="57"/>
        <v>8189.55</v>
      </c>
      <c r="Q174" s="27">
        <f t="shared" si="58"/>
        <v>-897.5999999999995</v>
      </c>
      <c r="R174" s="19">
        <f t="shared" si="59"/>
        <v>-1326.8265822431536</v>
      </c>
    </row>
    <row r="175" spans="1:18" s="34" customFormat="1" ht="12.75">
      <c r="A175" s="3">
        <v>12</v>
      </c>
      <c r="B175" s="44">
        <f t="shared" si="52"/>
        <v>43435</v>
      </c>
      <c r="C175" s="125">
        <f t="shared" si="63"/>
        <v>43468</v>
      </c>
      <c r="D175" s="125">
        <f t="shared" si="63"/>
        <v>43483</v>
      </c>
      <c r="E175" s="71" t="s">
        <v>55</v>
      </c>
      <c r="F175" s="42">
        <v>9</v>
      </c>
      <c r="G175" s="195">
        <v>11</v>
      </c>
      <c r="H175" s="126">
        <f t="shared" si="50"/>
        <v>1817.43</v>
      </c>
      <c r="I175" s="127">
        <f t="shared" si="51"/>
        <v>1393.46</v>
      </c>
      <c r="J175" s="46">
        <f t="shared" si="53"/>
        <v>15328.060000000001</v>
      </c>
      <c r="K175" s="47">
        <f t="shared" si="47"/>
        <v>19991.73</v>
      </c>
      <c r="L175" s="48">
        <f t="shared" si="62"/>
        <v>-4663.669999999998</v>
      </c>
      <c r="M175" s="27">
        <f t="shared" si="54"/>
        <v>-230.06848093493807</v>
      </c>
      <c r="N175" s="19">
        <f t="shared" si="55"/>
        <v>-4893.738480934936</v>
      </c>
      <c r="O175" s="27">
        <f t="shared" si="56"/>
        <v>1637.91</v>
      </c>
      <c r="P175" s="27">
        <f t="shared" si="57"/>
        <v>18017.010000000002</v>
      </c>
      <c r="Q175" s="27">
        <f t="shared" si="58"/>
        <v>-1974.7199999999975</v>
      </c>
      <c r="R175" s="19">
        <f t="shared" si="59"/>
        <v>-2919.0184809349385</v>
      </c>
    </row>
    <row r="176" spans="1:18" ht="12.75">
      <c r="A176" s="10">
        <v>1</v>
      </c>
      <c r="B176" s="9">
        <f t="shared" si="52"/>
        <v>43101</v>
      </c>
      <c r="C176" s="124">
        <f aca="true" t="shared" si="64" ref="C176:D187">+C152</f>
        <v>43136</v>
      </c>
      <c r="D176" s="124">
        <f t="shared" si="64"/>
        <v>43151</v>
      </c>
      <c r="E176" s="59" t="s">
        <v>56</v>
      </c>
      <c r="F176" s="3">
        <v>9</v>
      </c>
      <c r="G176" s="194">
        <v>25</v>
      </c>
      <c r="H176" s="126">
        <f t="shared" si="50"/>
        <v>1817.43</v>
      </c>
      <c r="I176" s="126">
        <f t="shared" si="51"/>
        <v>1393.46</v>
      </c>
      <c r="J176" s="28">
        <f t="shared" si="53"/>
        <v>34836.5</v>
      </c>
      <c r="K176" s="29">
        <f t="shared" si="47"/>
        <v>45435.75</v>
      </c>
      <c r="L176" s="30">
        <f t="shared" si="62"/>
        <v>-10599.25</v>
      </c>
      <c r="M176" s="27">
        <f t="shared" si="54"/>
        <v>-522.8829112157683</v>
      </c>
      <c r="N176" s="19">
        <f t="shared" si="55"/>
        <v>-11122.13291121577</v>
      </c>
      <c r="O176" s="27">
        <f t="shared" si="56"/>
        <v>1637.91</v>
      </c>
      <c r="P176" s="27">
        <f t="shared" si="57"/>
        <v>40947.75</v>
      </c>
      <c r="Q176" s="27">
        <f t="shared" si="58"/>
        <v>-4488</v>
      </c>
      <c r="R176" s="19">
        <f t="shared" si="59"/>
        <v>-6634.132911215769</v>
      </c>
    </row>
    <row r="177" spans="1:18" ht="12.75">
      <c r="A177" s="3">
        <v>2</v>
      </c>
      <c r="B177" s="9">
        <f t="shared" si="52"/>
        <v>43132</v>
      </c>
      <c r="C177" s="125">
        <f t="shared" si="64"/>
        <v>43164</v>
      </c>
      <c r="D177" s="125">
        <f t="shared" si="64"/>
        <v>43179</v>
      </c>
      <c r="E177" s="20" t="s">
        <v>56</v>
      </c>
      <c r="F177" s="3">
        <v>9</v>
      </c>
      <c r="G177" s="194">
        <v>21</v>
      </c>
      <c r="H177" s="126">
        <f t="shared" si="50"/>
        <v>1817.43</v>
      </c>
      <c r="I177" s="126">
        <f t="shared" si="51"/>
        <v>1393.46</v>
      </c>
      <c r="J177" s="28">
        <f t="shared" si="53"/>
        <v>29262.66</v>
      </c>
      <c r="K177" s="29">
        <f t="shared" si="47"/>
        <v>38166.03</v>
      </c>
      <c r="L177" s="30">
        <f t="shared" si="62"/>
        <v>-8903.369999999999</v>
      </c>
      <c r="M177" s="27">
        <f t="shared" si="54"/>
        <v>-439.2216454212454</v>
      </c>
      <c r="N177" s="19">
        <f t="shared" si="55"/>
        <v>-9342.591645421244</v>
      </c>
      <c r="O177" s="27">
        <f t="shared" si="56"/>
        <v>1637.91</v>
      </c>
      <c r="P177" s="27">
        <f t="shared" si="57"/>
        <v>34396.11</v>
      </c>
      <c r="Q177" s="27">
        <f t="shared" si="58"/>
        <v>-3769.9199999999983</v>
      </c>
      <c r="R177" s="19">
        <f t="shared" si="59"/>
        <v>-5572.671645421246</v>
      </c>
    </row>
    <row r="178" spans="1:18" ht="12.75">
      <c r="A178" s="3">
        <v>3</v>
      </c>
      <c r="B178" s="9">
        <f t="shared" si="52"/>
        <v>43160</v>
      </c>
      <c r="C178" s="125">
        <f t="shared" si="64"/>
        <v>43194</v>
      </c>
      <c r="D178" s="125">
        <f t="shared" si="64"/>
        <v>43209</v>
      </c>
      <c r="E178" s="20" t="s">
        <v>56</v>
      </c>
      <c r="F178" s="3">
        <v>9</v>
      </c>
      <c r="G178" s="194">
        <v>18</v>
      </c>
      <c r="H178" s="126">
        <f t="shared" si="50"/>
        <v>1817.43</v>
      </c>
      <c r="I178" s="126">
        <f t="shared" si="51"/>
        <v>1393.46</v>
      </c>
      <c r="J178" s="28">
        <f t="shared" si="53"/>
        <v>25082.28</v>
      </c>
      <c r="K178" s="29">
        <f t="shared" si="47"/>
        <v>32713.74</v>
      </c>
      <c r="L178" s="30">
        <f>+J178-K178</f>
        <v>-7631.460000000003</v>
      </c>
      <c r="M178" s="27">
        <f t="shared" si="54"/>
        <v>-376.4756960753532</v>
      </c>
      <c r="N178" s="19">
        <f t="shared" si="55"/>
        <v>-8007.935696075356</v>
      </c>
      <c r="O178" s="27">
        <f t="shared" si="56"/>
        <v>1637.91</v>
      </c>
      <c r="P178" s="27">
        <f t="shared" si="57"/>
        <v>29482.38</v>
      </c>
      <c r="Q178" s="27">
        <f t="shared" si="58"/>
        <v>-3231.3600000000006</v>
      </c>
      <c r="R178" s="19">
        <f t="shared" si="59"/>
        <v>-4776.575696075355</v>
      </c>
    </row>
    <row r="179" spans="1:18" ht="12.75">
      <c r="A179" s="10">
        <v>4</v>
      </c>
      <c r="B179" s="9">
        <f t="shared" si="52"/>
        <v>43191</v>
      </c>
      <c r="C179" s="125">
        <f t="shared" si="64"/>
        <v>43223</v>
      </c>
      <c r="D179" s="125">
        <f t="shared" si="64"/>
        <v>43238</v>
      </c>
      <c r="E179" s="20" t="s">
        <v>56</v>
      </c>
      <c r="F179" s="3">
        <v>9</v>
      </c>
      <c r="G179" s="194">
        <v>21</v>
      </c>
      <c r="H179" s="126">
        <f t="shared" si="50"/>
        <v>1817.43</v>
      </c>
      <c r="I179" s="126">
        <f t="shared" si="51"/>
        <v>1393.46</v>
      </c>
      <c r="J179" s="28">
        <f t="shared" si="53"/>
        <v>29262.66</v>
      </c>
      <c r="K179" s="29">
        <f t="shared" si="47"/>
        <v>38166.03</v>
      </c>
      <c r="L179" s="30">
        <f aca="true" t="shared" si="65" ref="L179:L189">+J179-K179</f>
        <v>-8903.369999999999</v>
      </c>
      <c r="M179" s="27">
        <f t="shared" si="54"/>
        <v>-439.2216454212454</v>
      </c>
      <c r="N179" s="19">
        <f t="shared" si="55"/>
        <v>-9342.591645421244</v>
      </c>
      <c r="O179" s="27">
        <f t="shared" si="56"/>
        <v>1637.91</v>
      </c>
      <c r="P179" s="27">
        <f t="shared" si="57"/>
        <v>34396.11</v>
      </c>
      <c r="Q179" s="27">
        <f t="shared" si="58"/>
        <v>-3769.9199999999983</v>
      </c>
      <c r="R179" s="19">
        <f t="shared" si="59"/>
        <v>-5572.671645421246</v>
      </c>
    </row>
    <row r="180" spans="1:18" ht="12.75">
      <c r="A180" s="3">
        <v>5</v>
      </c>
      <c r="B180" s="9">
        <f t="shared" si="52"/>
        <v>43221</v>
      </c>
      <c r="C180" s="125">
        <f t="shared" si="64"/>
        <v>43256</v>
      </c>
      <c r="D180" s="125">
        <f t="shared" si="64"/>
        <v>43271</v>
      </c>
      <c r="E180" s="20" t="s">
        <v>56</v>
      </c>
      <c r="F180" s="3">
        <v>9</v>
      </c>
      <c r="G180" s="194">
        <v>34</v>
      </c>
      <c r="H180" s="126">
        <f t="shared" si="50"/>
        <v>1817.43</v>
      </c>
      <c r="I180" s="126">
        <f aca="true" t="shared" si="66" ref="I180:I211">$J$3</f>
        <v>1393.46</v>
      </c>
      <c r="J180" s="28">
        <f t="shared" si="53"/>
        <v>47377.64</v>
      </c>
      <c r="K180" s="29">
        <f t="shared" si="47"/>
        <v>61792.62</v>
      </c>
      <c r="L180" s="30">
        <f t="shared" si="65"/>
        <v>-14414.980000000003</v>
      </c>
      <c r="M180" s="27">
        <f t="shared" si="54"/>
        <v>-711.1207592534449</v>
      </c>
      <c r="N180" s="19">
        <f t="shared" si="55"/>
        <v>-15126.100759253448</v>
      </c>
      <c r="O180" s="27">
        <f t="shared" si="56"/>
        <v>1637.91</v>
      </c>
      <c r="P180" s="27">
        <f t="shared" si="57"/>
        <v>55688.94</v>
      </c>
      <c r="Q180" s="27">
        <f t="shared" si="58"/>
        <v>-6103.68</v>
      </c>
      <c r="R180" s="19">
        <f t="shared" si="59"/>
        <v>-9022.420759253448</v>
      </c>
    </row>
    <row r="181" spans="1:18" ht="12.75">
      <c r="A181" s="3">
        <v>6</v>
      </c>
      <c r="B181" s="9">
        <f t="shared" si="52"/>
        <v>43252</v>
      </c>
      <c r="C181" s="125">
        <f t="shared" si="64"/>
        <v>43286</v>
      </c>
      <c r="D181" s="125">
        <f t="shared" si="64"/>
        <v>43301</v>
      </c>
      <c r="E181" s="20" t="s">
        <v>56</v>
      </c>
      <c r="F181" s="3">
        <v>9</v>
      </c>
      <c r="G181" s="194">
        <v>37</v>
      </c>
      <c r="H181" s="126">
        <f t="shared" si="50"/>
        <v>1817.43</v>
      </c>
      <c r="I181" s="126">
        <f t="shared" si="66"/>
        <v>1393.46</v>
      </c>
      <c r="J181" s="28">
        <f t="shared" si="53"/>
        <v>51558.020000000004</v>
      </c>
      <c r="K181" s="29">
        <f t="shared" si="47"/>
        <v>67244.91</v>
      </c>
      <c r="L181" s="39">
        <f t="shared" si="65"/>
        <v>-15686.89</v>
      </c>
      <c r="M181" s="27">
        <f t="shared" si="54"/>
        <v>-773.8667085993371</v>
      </c>
      <c r="N181" s="19">
        <f t="shared" si="55"/>
        <v>-16460.756708599336</v>
      </c>
      <c r="O181" s="27">
        <f t="shared" si="56"/>
        <v>1637.91</v>
      </c>
      <c r="P181" s="27">
        <f t="shared" si="57"/>
        <v>60602.670000000006</v>
      </c>
      <c r="Q181" s="27">
        <f t="shared" si="58"/>
        <v>-6642.239999999998</v>
      </c>
      <c r="R181" s="19">
        <f t="shared" si="59"/>
        <v>-9818.516708599338</v>
      </c>
    </row>
    <row r="182" spans="1:18" ht="12.75">
      <c r="A182" s="10">
        <v>7</v>
      </c>
      <c r="B182" s="9">
        <f t="shared" si="52"/>
        <v>43282</v>
      </c>
      <c r="C182" s="125">
        <f t="shared" si="64"/>
        <v>43315</v>
      </c>
      <c r="D182" s="125">
        <f t="shared" si="64"/>
        <v>43330</v>
      </c>
      <c r="E182" s="20" t="s">
        <v>56</v>
      </c>
      <c r="F182" s="3">
        <v>9</v>
      </c>
      <c r="G182" s="194">
        <v>38</v>
      </c>
      <c r="H182" s="126">
        <f t="shared" si="50"/>
        <v>1817.43</v>
      </c>
      <c r="I182" s="126">
        <f t="shared" si="66"/>
        <v>1393.46</v>
      </c>
      <c r="J182" s="28">
        <f t="shared" si="53"/>
        <v>52951.48</v>
      </c>
      <c r="K182" s="37">
        <f t="shared" si="47"/>
        <v>69062.34</v>
      </c>
      <c r="L182" s="39">
        <f t="shared" si="65"/>
        <v>-16110.859999999993</v>
      </c>
      <c r="M182" s="27">
        <f t="shared" si="54"/>
        <v>-794.7820250479679</v>
      </c>
      <c r="N182" s="19">
        <f t="shared" si="55"/>
        <v>-16905.64202504796</v>
      </c>
      <c r="O182" s="27">
        <f t="shared" si="56"/>
        <v>1637.91</v>
      </c>
      <c r="P182" s="27">
        <f t="shared" si="57"/>
        <v>62240.58</v>
      </c>
      <c r="Q182" s="27">
        <f t="shared" si="58"/>
        <v>-6821.759999999995</v>
      </c>
      <c r="R182" s="19">
        <f t="shared" si="59"/>
        <v>-10083.882025047966</v>
      </c>
    </row>
    <row r="183" spans="1:18" ht="12.75">
      <c r="A183" s="3">
        <v>8</v>
      </c>
      <c r="B183" s="9">
        <f t="shared" si="52"/>
        <v>43313</v>
      </c>
      <c r="C183" s="125">
        <f t="shared" si="64"/>
        <v>43348</v>
      </c>
      <c r="D183" s="125">
        <f t="shared" si="64"/>
        <v>43363</v>
      </c>
      <c r="E183" s="20" t="s">
        <v>56</v>
      </c>
      <c r="F183" s="3">
        <v>9</v>
      </c>
      <c r="G183" s="194">
        <v>35</v>
      </c>
      <c r="H183" s="126">
        <f t="shared" si="50"/>
        <v>1817.43</v>
      </c>
      <c r="I183" s="126">
        <f t="shared" si="66"/>
        <v>1393.46</v>
      </c>
      <c r="J183" s="28">
        <f t="shared" si="53"/>
        <v>48771.1</v>
      </c>
      <c r="K183" s="37">
        <f t="shared" si="47"/>
        <v>63610.05</v>
      </c>
      <c r="L183" s="39">
        <f t="shared" si="65"/>
        <v>-14838.950000000004</v>
      </c>
      <c r="M183" s="27">
        <f t="shared" si="54"/>
        <v>-732.0360757020757</v>
      </c>
      <c r="N183" s="19">
        <f t="shared" si="55"/>
        <v>-15570.98607570208</v>
      </c>
      <c r="O183" s="27">
        <f t="shared" si="56"/>
        <v>1637.91</v>
      </c>
      <c r="P183" s="27">
        <f t="shared" si="57"/>
        <v>57326.850000000006</v>
      </c>
      <c r="Q183" s="27">
        <f t="shared" si="58"/>
        <v>-6283.199999999997</v>
      </c>
      <c r="R183" s="19">
        <f t="shared" si="59"/>
        <v>-9287.786075702083</v>
      </c>
    </row>
    <row r="184" spans="1:18" ht="12.75">
      <c r="A184" s="3">
        <v>9</v>
      </c>
      <c r="B184" s="9">
        <f t="shared" si="52"/>
        <v>43344</v>
      </c>
      <c r="C184" s="125">
        <f t="shared" si="64"/>
        <v>43376</v>
      </c>
      <c r="D184" s="125">
        <f t="shared" si="64"/>
        <v>43391</v>
      </c>
      <c r="E184" s="20" t="s">
        <v>56</v>
      </c>
      <c r="F184" s="3">
        <v>9</v>
      </c>
      <c r="G184" s="194">
        <v>36</v>
      </c>
      <c r="H184" s="126">
        <f t="shared" si="50"/>
        <v>1817.43</v>
      </c>
      <c r="I184" s="126">
        <f t="shared" si="66"/>
        <v>1393.46</v>
      </c>
      <c r="J184" s="28">
        <f t="shared" si="53"/>
        <v>50164.56</v>
      </c>
      <c r="K184" s="37">
        <f t="shared" si="47"/>
        <v>65427.48</v>
      </c>
      <c r="L184" s="39">
        <f t="shared" si="65"/>
        <v>-15262.920000000006</v>
      </c>
      <c r="M184" s="27">
        <f t="shared" si="54"/>
        <v>-752.9513921507064</v>
      </c>
      <c r="N184" s="19">
        <f t="shared" si="55"/>
        <v>-16015.871392150711</v>
      </c>
      <c r="O184" s="27">
        <f t="shared" si="56"/>
        <v>1637.91</v>
      </c>
      <c r="P184" s="27">
        <f t="shared" si="57"/>
        <v>58964.76</v>
      </c>
      <c r="Q184" s="27">
        <f t="shared" si="58"/>
        <v>-6462.720000000001</v>
      </c>
      <c r="R184" s="19">
        <f t="shared" si="59"/>
        <v>-9553.15139215071</v>
      </c>
    </row>
    <row r="185" spans="1:18" ht="12.75">
      <c r="A185" s="10">
        <v>10</v>
      </c>
      <c r="B185" s="9">
        <f t="shared" si="52"/>
        <v>43374</v>
      </c>
      <c r="C185" s="125">
        <f t="shared" si="64"/>
        <v>43409</v>
      </c>
      <c r="D185" s="125">
        <f t="shared" si="64"/>
        <v>43424</v>
      </c>
      <c r="E185" s="20" t="s">
        <v>56</v>
      </c>
      <c r="F185" s="3">
        <v>9</v>
      </c>
      <c r="G185" s="194">
        <v>30</v>
      </c>
      <c r="H185" s="126">
        <f t="shared" si="50"/>
        <v>1817.43</v>
      </c>
      <c r="I185" s="126">
        <f t="shared" si="66"/>
        <v>1393.46</v>
      </c>
      <c r="J185" s="28">
        <f t="shared" si="53"/>
        <v>41803.8</v>
      </c>
      <c r="K185" s="37">
        <f t="shared" si="47"/>
        <v>54522.9</v>
      </c>
      <c r="L185" s="39">
        <f t="shared" si="65"/>
        <v>-12719.099999999999</v>
      </c>
      <c r="M185" s="27">
        <f t="shared" si="54"/>
        <v>-627.459493458922</v>
      </c>
      <c r="N185" s="19">
        <f t="shared" si="55"/>
        <v>-13346.55949345892</v>
      </c>
      <c r="O185" s="27">
        <f t="shared" si="56"/>
        <v>1637.91</v>
      </c>
      <c r="P185" s="27">
        <f t="shared" si="57"/>
        <v>49137.3</v>
      </c>
      <c r="Q185" s="27">
        <f t="shared" si="58"/>
        <v>-5385.5999999999985</v>
      </c>
      <c r="R185" s="19">
        <f t="shared" si="59"/>
        <v>-7960.959493458922</v>
      </c>
    </row>
    <row r="186" spans="1:18" ht="12.75">
      <c r="A186" s="3">
        <v>11</v>
      </c>
      <c r="B186" s="9">
        <f t="shared" si="52"/>
        <v>43405</v>
      </c>
      <c r="C186" s="125">
        <f t="shared" si="64"/>
        <v>43439</v>
      </c>
      <c r="D186" s="125">
        <f t="shared" si="64"/>
        <v>43454</v>
      </c>
      <c r="E186" s="20" t="s">
        <v>56</v>
      </c>
      <c r="F186" s="3">
        <v>9</v>
      </c>
      <c r="G186" s="194">
        <v>20</v>
      </c>
      <c r="H186" s="126">
        <f t="shared" si="50"/>
        <v>1817.43</v>
      </c>
      <c r="I186" s="126">
        <f t="shared" si="66"/>
        <v>1393.46</v>
      </c>
      <c r="J186" s="28">
        <f t="shared" si="53"/>
        <v>27869.2</v>
      </c>
      <c r="K186" s="37">
        <f t="shared" si="47"/>
        <v>36348.6</v>
      </c>
      <c r="L186" s="39">
        <f t="shared" si="65"/>
        <v>-8479.399999999998</v>
      </c>
      <c r="M186" s="27">
        <f t="shared" si="54"/>
        <v>-418.30632897261466</v>
      </c>
      <c r="N186" s="19">
        <f t="shared" si="55"/>
        <v>-8897.706328972612</v>
      </c>
      <c r="O186" s="27">
        <f t="shared" si="56"/>
        <v>1637.91</v>
      </c>
      <c r="P186" s="27">
        <f t="shared" si="57"/>
        <v>32758.2</v>
      </c>
      <c r="Q186" s="27">
        <f t="shared" si="58"/>
        <v>-3590.399999999998</v>
      </c>
      <c r="R186" s="19">
        <f t="shared" si="59"/>
        <v>-5307.306328972614</v>
      </c>
    </row>
    <row r="187" spans="1:18" s="34" customFormat="1" ht="12.75">
      <c r="A187" s="3">
        <v>12</v>
      </c>
      <c r="B187" s="44">
        <f t="shared" si="52"/>
        <v>43435</v>
      </c>
      <c r="C187" s="125">
        <f t="shared" si="64"/>
        <v>43468</v>
      </c>
      <c r="D187" s="125">
        <f t="shared" si="64"/>
        <v>43483</v>
      </c>
      <c r="E187" s="45" t="s">
        <v>56</v>
      </c>
      <c r="F187" s="42">
        <v>9</v>
      </c>
      <c r="G187" s="195">
        <v>21</v>
      </c>
      <c r="H187" s="126">
        <f t="shared" si="50"/>
        <v>1817.43</v>
      </c>
      <c r="I187" s="127">
        <f t="shared" si="66"/>
        <v>1393.46</v>
      </c>
      <c r="J187" s="46">
        <f t="shared" si="53"/>
        <v>29262.66</v>
      </c>
      <c r="K187" s="47">
        <f t="shared" si="47"/>
        <v>38166.03</v>
      </c>
      <c r="L187" s="48">
        <f t="shared" si="65"/>
        <v>-8903.369999999999</v>
      </c>
      <c r="M187" s="27">
        <f t="shared" si="54"/>
        <v>-439.2216454212454</v>
      </c>
      <c r="N187" s="19">
        <f t="shared" si="55"/>
        <v>-9342.591645421244</v>
      </c>
      <c r="O187" s="27">
        <f t="shared" si="56"/>
        <v>1637.91</v>
      </c>
      <c r="P187" s="27">
        <f t="shared" si="57"/>
        <v>34396.11</v>
      </c>
      <c r="Q187" s="27">
        <f t="shared" si="58"/>
        <v>-3769.9199999999983</v>
      </c>
      <c r="R187" s="19">
        <f t="shared" si="59"/>
        <v>-5572.671645421246</v>
      </c>
    </row>
    <row r="188" spans="1:18" ht="12.75">
      <c r="A188" s="10">
        <v>1</v>
      </c>
      <c r="B188" s="9">
        <f t="shared" si="52"/>
        <v>43101</v>
      </c>
      <c r="C188" s="124">
        <f aca="true" t="shared" si="67" ref="C188:D211">+C176</f>
        <v>43136</v>
      </c>
      <c r="D188" s="124">
        <f t="shared" si="67"/>
        <v>43151</v>
      </c>
      <c r="E188" s="60" t="s">
        <v>57</v>
      </c>
      <c r="F188" s="10">
        <v>9</v>
      </c>
      <c r="G188" s="194">
        <v>45</v>
      </c>
      <c r="H188" s="126">
        <f t="shared" si="50"/>
        <v>1817.43</v>
      </c>
      <c r="I188" s="126">
        <f t="shared" si="66"/>
        <v>1393.46</v>
      </c>
      <c r="J188" s="28">
        <f t="shared" si="53"/>
        <v>62705.700000000004</v>
      </c>
      <c r="K188" s="29">
        <f t="shared" si="47"/>
        <v>81784.35</v>
      </c>
      <c r="L188" s="30">
        <f t="shared" si="65"/>
        <v>-19078.65</v>
      </c>
      <c r="M188" s="27">
        <f t="shared" si="54"/>
        <v>-941.189240188383</v>
      </c>
      <c r="N188" s="19">
        <f t="shared" si="55"/>
        <v>-20019.839240188383</v>
      </c>
      <c r="O188" s="27">
        <f t="shared" si="56"/>
        <v>1637.91</v>
      </c>
      <c r="P188" s="27">
        <f t="shared" si="57"/>
        <v>73705.95</v>
      </c>
      <c r="Q188" s="27">
        <f t="shared" si="58"/>
        <v>-8078.400000000009</v>
      </c>
      <c r="R188" s="19">
        <f t="shared" si="59"/>
        <v>-11941.439240188374</v>
      </c>
    </row>
    <row r="189" spans="1:18" ht="12.75">
      <c r="A189" s="3">
        <v>2</v>
      </c>
      <c r="B189" s="9">
        <f t="shared" si="52"/>
        <v>43132</v>
      </c>
      <c r="C189" s="125">
        <f t="shared" si="67"/>
        <v>43164</v>
      </c>
      <c r="D189" s="125">
        <f t="shared" si="67"/>
        <v>43179</v>
      </c>
      <c r="E189" s="35" t="s">
        <v>57</v>
      </c>
      <c r="F189" s="3">
        <v>9</v>
      </c>
      <c r="G189" s="194">
        <v>43</v>
      </c>
      <c r="H189" s="126">
        <f t="shared" si="50"/>
        <v>1817.43</v>
      </c>
      <c r="I189" s="126">
        <f t="shared" si="66"/>
        <v>1393.46</v>
      </c>
      <c r="J189" s="28">
        <f t="shared" si="53"/>
        <v>59918.78</v>
      </c>
      <c r="K189" s="29">
        <f t="shared" si="47"/>
        <v>78149.49</v>
      </c>
      <c r="L189" s="30">
        <f t="shared" si="65"/>
        <v>-18230.710000000006</v>
      </c>
      <c r="M189" s="27">
        <f t="shared" si="54"/>
        <v>-899.3586072911215</v>
      </c>
      <c r="N189" s="19">
        <f t="shared" si="55"/>
        <v>-19130.068607291127</v>
      </c>
      <c r="O189" s="27">
        <f t="shared" si="56"/>
        <v>1637.91</v>
      </c>
      <c r="P189" s="27">
        <f t="shared" si="57"/>
        <v>70430.13</v>
      </c>
      <c r="Q189" s="27">
        <f t="shared" si="58"/>
        <v>-7719.360000000001</v>
      </c>
      <c r="R189" s="19">
        <f t="shared" si="59"/>
        <v>-11410.708607291126</v>
      </c>
    </row>
    <row r="190" spans="1:18" ht="12.75">
      <c r="A190" s="3">
        <v>3</v>
      </c>
      <c r="B190" s="9">
        <f t="shared" si="52"/>
        <v>43160</v>
      </c>
      <c r="C190" s="125">
        <f t="shared" si="67"/>
        <v>43194</v>
      </c>
      <c r="D190" s="125">
        <f t="shared" si="67"/>
        <v>43209</v>
      </c>
      <c r="E190" s="35" t="s">
        <v>57</v>
      </c>
      <c r="F190" s="3">
        <v>9</v>
      </c>
      <c r="G190" s="194">
        <v>39</v>
      </c>
      <c r="H190" s="126">
        <f t="shared" si="50"/>
        <v>1817.43</v>
      </c>
      <c r="I190" s="126">
        <f t="shared" si="66"/>
        <v>1393.46</v>
      </c>
      <c r="J190" s="28">
        <f t="shared" si="53"/>
        <v>54344.94</v>
      </c>
      <c r="K190" s="29">
        <f t="shared" si="47"/>
        <v>70879.77</v>
      </c>
      <c r="L190" s="30">
        <f>+J190-K190</f>
        <v>-16534.83</v>
      </c>
      <c r="M190" s="27">
        <f t="shared" si="54"/>
        <v>-815.6973414965986</v>
      </c>
      <c r="N190" s="19">
        <f t="shared" si="55"/>
        <v>-17350.5273414966</v>
      </c>
      <c r="O190" s="27">
        <f t="shared" si="56"/>
        <v>1637.91</v>
      </c>
      <c r="P190" s="27">
        <f t="shared" si="57"/>
        <v>63878.490000000005</v>
      </c>
      <c r="Q190" s="27">
        <f t="shared" si="58"/>
        <v>-7001.279999999999</v>
      </c>
      <c r="R190" s="19">
        <f t="shared" si="59"/>
        <v>-10349.2473414966</v>
      </c>
    </row>
    <row r="191" spans="1:18" ht="12.75">
      <c r="A191" s="10">
        <v>4</v>
      </c>
      <c r="B191" s="9">
        <f t="shared" si="52"/>
        <v>43191</v>
      </c>
      <c r="C191" s="125">
        <f t="shared" si="67"/>
        <v>43223</v>
      </c>
      <c r="D191" s="125">
        <f t="shared" si="67"/>
        <v>43238</v>
      </c>
      <c r="E191" s="20" t="s">
        <v>57</v>
      </c>
      <c r="F191" s="3">
        <v>9</v>
      </c>
      <c r="G191" s="194">
        <v>39</v>
      </c>
      <c r="H191" s="126">
        <f t="shared" si="50"/>
        <v>1817.43</v>
      </c>
      <c r="I191" s="126">
        <f t="shared" si="66"/>
        <v>1393.46</v>
      </c>
      <c r="J191" s="28">
        <f t="shared" si="53"/>
        <v>54344.94</v>
      </c>
      <c r="K191" s="29">
        <f t="shared" si="47"/>
        <v>70879.77</v>
      </c>
      <c r="L191" s="30">
        <f aca="true" t="shared" si="68" ref="L191:L201">+J191-K191</f>
        <v>-16534.83</v>
      </c>
      <c r="M191" s="27">
        <f t="shared" si="54"/>
        <v>-815.6973414965986</v>
      </c>
      <c r="N191" s="19">
        <f t="shared" si="55"/>
        <v>-17350.5273414966</v>
      </c>
      <c r="O191" s="27">
        <f t="shared" si="56"/>
        <v>1637.91</v>
      </c>
      <c r="P191" s="27">
        <f t="shared" si="57"/>
        <v>63878.490000000005</v>
      </c>
      <c r="Q191" s="27">
        <f t="shared" si="58"/>
        <v>-7001.279999999999</v>
      </c>
      <c r="R191" s="19">
        <f t="shared" si="59"/>
        <v>-10349.2473414966</v>
      </c>
    </row>
    <row r="192" spans="1:18" ht="12.75">
      <c r="A192" s="3">
        <v>5</v>
      </c>
      <c r="B192" s="9">
        <f t="shared" si="52"/>
        <v>43221</v>
      </c>
      <c r="C192" s="125">
        <f t="shared" si="67"/>
        <v>43256</v>
      </c>
      <c r="D192" s="125">
        <f t="shared" si="67"/>
        <v>43271</v>
      </c>
      <c r="E192" s="20" t="s">
        <v>57</v>
      </c>
      <c r="F192" s="3">
        <v>9</v>
      </c>
      <c r="G192" s="194">
        <v>56</v>
      </c>
      <c r="H192" s="126">
        <f t="shared" si="50"/>
        <v>1817.43</v>
      </c>
      <c r="I192" s="126">
        <f t="shared" si="66"/>
        <v>1393.46</v>
      </c>
      <c r="J192" s="28">
        <f t="shared" si="53"/>
        <v>78033.76000000001</v>
      </c>
      <c r="K192" s="29">
        <f t="shared" si="47"/>
        <v>101776.08</v>
      </c>
      <c r="L192" s="30">
        <f t="shared" si="68"/>
        <v>-23742.319999999992</v>
      </c>
      <c r="M192" s="27">
        <f t="shared" si="54"/>
        <v>-1171.257721123321</v>
      </c>
      <c r="N192" s="19">
        <f t="shared" si="55"/>
        <v>-24913.577721123314</v>
      </c>
      <c r="O192" s="27">
        <f t="shared" si="56"/>
        <v>1637.91</v>
      </c>
      <c r="P192" s="27">
        <f t="shared" si="57"/>
        <v>91722.96</v>
      </c>
      <c r="Q192" s="27">
        <f t="shared" si="58"/>
        <v>-10053.119999999995</v>
      </c>
      <c r="R192" s="19">
        <f t="shared" si="59"/>
        <v>-14860.457721123319</v>
      </c>
    </row>
    <row r="193" spans="1:18" ht="12.75">
      <c r="A193" s="3">
        <v>6</v>
      </c>
      <c r="B193" s="9">
        <f t="shared" si="52"/>
        <v>43252</v>
      </c>
      <c r="C193" s="125">
        <f t="shared" si="67"/>
        <v>43286</v>
      </c>
      <c r="D193" s="125">
        <f t="shared" si="67"/>
        <v>43301</v>
      </c>
      <c r="E193" s="20" t="s">
        <v>57</v>
      </c>
      <c r="F193" s="3">
        <v>9</v>
      </c>
      <c r="G193" s="194">
        <v>57</v>
      </c>
      <c r="H193" s="126">
        <f t="shared" si="50"/>
        <v>1817.43</v>
      </c>
      <c r="I193" s="126">
        <f t="shared" si="66"/>
        <v>1393.46</v>
      </c>
      <c r="J193" s="28">
        <f t="shared" si="53"/>
        <v>79427.22</v>
      </c>
      <c r="K193" s="29">
        <f t="shared" si="47"/>
        <v>103593.51000000001</v>
      </c>
      <c r="L193" s="39">
        <f t="shared" si="68"/>
        <v>-24166.290000000008</v>
      </c>
      <c r="M193" s="27">
        <f t="shared" si="54"/>
        <v>-1192.173037571952</v>
      </c>
      <c r="N193" s="19">
        <f t="shared" si="55"/>
        <v>-25358.46303757196</v>
      </c>
      <c r="O193" s="27">
        <f t="shared" si="56"/>
        <v>1637.91</v>
      </c>
      <c r="P193" s="27">
        <f t="shared" si="57"/>
        <v>93360.87000000001</v>
      </c>
      <c r="Q193" s="27">
        <f t="shared" si="58"/>
        <v>-10232.64</v>
      </c>
      <c r="R193" s="19">
        <f t="shared" si="59"/>
        <v>-15125.823037571961</v>
      </c>
    </row>
    <row r="194" spans="1:18" ht="12.75">
      <c r="A194" s="10">
        <v>7</v>
      </c>
      <c r="B194" s="9">
        <f t="shared" si="52"/>
        <v>43282</v>
      </c>
      <c r="C194" s="125">
        <f t="shared" si="67"/>
        <v>43315</v>
      </c>
      <c r="D194" s="125">
        <f t="shared" si="67"/>
        <v>43330</v>
      </c>
      <c r="E194" s="20" t="s">
        <v>57</v>
      </c>
      <c r="F194" s="3">
        <v>9</v>
      </c>
      <c r="G194" s="194">
        <v>56</v>
      </c>
      <c r="H194" s="126">
        <f t="shared" si="50"/>
        <v>1817.43</v>
      </c>
      <c r="I194" s="126">
        <f t="shared" si="66"/>
        <v>1393.46</v>
      </c>
      <c r="J194" s="28">
        <f t="shared" si="53"/>
        <v>78033.76000000001</v>
      </c>
      <c r="K194" s="37">
        <f t="shared" si="47"/>
        <v>101776.08</v>
      </c>
      <c r="L194" s="39">
        <f t="shared" si="68"/>
        <v>-23742.319999999992</v>
      </c>
      <c r="M194" s="27">
        <f t="shared" si="54"/>
        <v>-1171.257721123321</v>
      </c>
      <c r="N194" s="19">
        <f t="shared" si="55"/>
        <v>-24913.577721123314</v>
      </c>
      <c r="O194" s="27">
        <f t="shared" si="56"/>
        <v>1637.91</v>
      </c>
      <c r="P194" s="27">
        <f t="shared" si="57"/>
        <v>91722.96</v>
      </c>
      <c r="Q194" s="27">
        <f t="shared" si="58"/>
        <v>-10053.119999999995</v>
      </c>
      <c r="R194" s="19">
        <f t="shared" si="59"/>
        <v>-14860.457721123319</v>
      </c>
    </row>
    <row r="195" spans="1:18" ht="12.75">
      <c r="A195" s="3">
        <v>8</v>
      </c>
      <c r="B195" s="9">
        <f t="shared" si="52"/>
        <v>43313</v>
      </c>
      <c r="C195" s="125">
        <f t="shared" si="67"/>
        <v>43348</v>
      </c>
      <c r="D195" s="125">
        <f t="shared" si="67"/>
        <v>43363</v>
      </c>
      <c r="E195" s="20" t="s">
        <v>57</v>
      </c>
      <c r="F195" s="3">
        <v>9</v>
      </c>
      <c r="G195" s="194">
        <v>56</v>
      </c>
      <c r="H195" s="126">
        <f t="shared" si="50"/>
        <v>1817.43</v>
      </c>
      <c r="I195" s="126">
        <f t="shared" si="66"/>
        <v>1393.46</v>
      </c>
      <c r="J195" s="28">
        <f t="shared" si="53"/>
        <v>78033.76000000001</v>
      </c>
      <c r="K195" s="37">
        <f t="shared" si="47"/>
        <v>101776.08</v>
      </c>
      <c r="L195" s="39">
        <f t="shared" si="68"/>
        <v>-23742.319999999992</v>
      </c>
      <c r="M195" s="27">
        <f t="shared" si="54"/>
        <v>-1171.257721123321</v>
      </c>
      <c r="N195" s="19">
        <f t="shared" si="55"/>
        <v>-24913.577721123314</v>
      </c>
      <c r="O195" s="27">
        <f t="shared" si="56"/>
        <v>1637.91</v>
      </c>
      <c r="P195" s="27">
        <f t="shared" si="57"/>
        <v>91722.96</v>
      </c>
      <c r="Q195" s="27">
        <f t="shared" si="58"/>
        <v>-10053.119999999995</v>
      </c>
      <c r="R195" s="19">
        <f t="shared" si="59"/>
        <v>-14860.457721123319</v>
      </c>
    </row>
    <row r="196" spans="1:18" ht="12.75">
      <c r="A196" s="3">
        <v>9</v>
      </c>
      <c r="B196" s="9">
        <f t="shared" si="52"/>
        <v>43344</v>
      </c>
      <c r="C196" s="125">
        <f t="shared" si="67"/>
        <v>43376</v>
      </c>
      <c r="D196" s="125">
        <f t="shared" si="67"/>
        <v>43391</v>
      </c>
      <c r="E196" s="20" t="s">
        <v>57</v>
      </c>
      <c r="F196" s="3">
        <v>9</v>
      </c>
      <c r="G196" s="194">
        <v>55</v>
      </c>
      <c r="H196" s="126">
        <f t="shared" si="50"/>
        <v>1817.43</v>
      </c>
      <c r="I196" s="126">
        <f t="shared" si="66"/>
        <v>1393.46</v>
      </c>
      <c r="J196" s="28">
        <f t="shared" si="53"/>
        <v>76640.3</v>
      </c>
      <c r="K196" s="37">
        <f t="shared" si="47"/>
        <v>99958.65000000001</v>
      </c>
      <c r="L196" s="39">
        <f t="shared" si="68"/>
        <v>-23318.350000000006</v>
      </c>
      <c r="M196" s="27">
        <f t="shared" si="54"/>
        <v>-1150.3424046746904</v>
      </c>
      <c r="N196" s="19">
        <f t="shared" si="55"/>
        <v>-24468.692404674697</v>
      </c>
      <c r="O196" s="27">
        <f t="shared" si="56"/>
        <v>1637.91</v>
      </c>
      <c r="P196" s="27">
        <f t="shared" si="57"/>
        <v>90085.05</v>
      </c>
      <c r="Q196" s="27">
        <f t="shared" si="58"/>
        <v>-9873.600000000006</v>
      </c>
      <c r="R196" s="19">
        <f t="shared" si="59"/>
        <v>-14595.092404674691</v>
      </c>
    </row>
    <row r="197" spans="1:18" ht="12.75">
      <c r="A197" s="10">
        <v>10</v>
      </c>
      <c r="B197" s="9">
        <f t="shared" si="52"/>
        <v>43374</v>
      </c>
      <c r="C197" s="125">
        <f t="shared" si="67"/>
        <v>43409</v>
      </c>
      <c r="D197" s="125">
        <f t="shared" si="67"/>
        <v>43424</v>
      </c>
      <c r="E197" s="20" t="s">
        <v>57</v>
      </c>
      <c r="F197" s="3">
        <v>9</v>
      </c>
      <c r="G197" s="194">
        <v>52</v>
      </c>
      <c r="H197" s="126">
        <f t="shared" si="50"/>
        <v>1817.43</v>
      </c>
      <c r="I197" s="126">
        <f t="shared" si="66"/>
        <v>1393.46</v>
      </c>
      <c r="J197" s="28">
        <f t="shared" si="53"/>
        <v>72459.92</v>
      </c>
      <c r="K197" s="37">
        <f t="shared" si="47"/>
        <v>94506.36</v>
      </c>
      <c r="L197" s="39">
        <f t="shared" si="68"/>
        <v>-22046.440000000002</v>
      </c>
      <c r="M197" s="27">
        <f t="shared" si="54"/>
        <v>-1087.5964553287981</v>
      </c>
      <c r="N197" s="19">
        <f t="shared" si="55"/>
        <v>-23134.036455328802</v>
      </c>
      <c r="O197" s="27">
        <f t="shared" si="56"/>
        <v>1637.91</v>
      </c>
      <c r="P197" s="27">
        <f t="shared" si="57"/>
        <v>85171.32</v>
      </c>
      <c r="Q197" s="27">
        <f t="shared" si="58"/>
        <v>-9335.039999999994</v>
      </c>
      <c r="R197" s="19">
        <f t="shared" si="59"/>
        <v>-13798.996455328808</v>
      </c>
    </row>
    <row r="198" spans="1:18" ht="12.75">
      <c r="A198" s="3">
        <v>11</v>
      </c>
      <c r="B198" s="9">
        <f t="shared" si="52"/>
        <v>43405</v>
      </c>
      <c r="C198" s="125">
        <f t="shared" si="67"/>
        <v>43439</v>
      </c>
      <c r="D198" s="125">
        <f t="shared" si="67"/>
        <v>43454</v>
      </c>
      <c r="E198" s="20" t="s">
        <v>57</v>
      </c>
      <c r="F198" s="3">
        <v>9</v>
      </c>
      <c r="G198" s="194">
        <v>42</v>
      </c>
      <c r="H198" s="126">
        <f t="shared" si="50"/>
        <v>1817.43</v>
      </c>
      <c r="I198" s="126">
        <f t="shared" si="66"/>
        <v>1393.46</v>
      </c>
      <c r="J198" s="28">
        <f t="shared" si="53"/>
        <v>58525.32</v>
      </c>
      <c r="K198" s="37">
        <f aca="true" t="shared" si="69" ref="K198:K209">+$G198*H198</f>
        <v>76332.06</v>
      </c>
      <c r="L198" s="39">
        <f t="shared" si="68"/>
        <v>-17806.739999999998</v>
      </c>
      <c r="M198" s="27">
        <f t="shared" si="54"/>
        <v>-878.4432908424908</v>
      </c>
      <c r="N198" s="19">
        <f t="shared" si="55"/>
        <v>-18685.183290842488</v>
      </c>
      <c r="O198" s="27">
        <f t="shared" si="56"/>
        <v>1637.91</v>
      </c>
      <c r="P198" s="27">
        <f t="shared" si="57"/>
        <v>68792.22</v>
      </c>
      <c r="Q198" s="27">
        <f t="shared" si="58"/>
        <v>-7539.8399999999965</v>
      </c>
      <c r="R198" s="19">
        <f t="shared" si="59"/>
        <v>-11145.343290842491</v>
      </c>
    </row>
    <row r="199" spans="1:18" s="34" customFormat="1" ht="12.75">
      <c r="A199" s="3">
        <v>12</v>
      </c>
      <c r="B199" s="44">
        <f t="shared" si="52"/>
        <v>43435</v>
      </c>
      <c r="C199" s="125">
        <f t="shared" si="67"/>
        <v>43468</v>
      </c>
      <c r="D199" s="125">
        <f t="shared" si="67"/>
        <v>43483</v>
      </c>
      <c r="E199" s="45" t="s">
        <v>57</v>
      </c>
      <c r="F199" s="42">
        <v>9</v>
      </c>
      <c r="G199" s="195">
        <v>41</v>
      </c>
      <c r="H199" s="126">
        <f t="shared" si="50"/>
        <v>1817.43</v>
      </c>
      <c r="I199" s="127">
        <f t="shared" si="66"/>
        <v>1393.46</v>
      </c>
      <c r="J199" s="46">
        <f t="shared" si="53"/>
        <v>57131.86</v>
      </c>
      <c r="K199" s="47">
        <f t="shared" si="69"/>
        <v>74514.63</v>
      </c>
      <c r="L199" s="48">
        <f t="shared" si="68"/>
        <v>-17382.770000000004</v>
      </c>
      <c r="M199" s="27">
        <f t="shared" si="54"/>
        <v>-857.5279743938601</v>
      </c>
      <c r="N199" s="19">
        <f t="shared" si="55"/>
        <v>-18240.297974393863</v>
      </c>
      <c r="O199" s="27">
        <f t="shared" si="56"/>
        <v>1637.91</v>
      </c>
      <c r="P199" s="27">
        <f t="shared" si="57"/>
        <v>67154.31</v>
      </c>
      <c r="Q199" s="27">
        <f t="shared" si="58"/>
        <v>-7360.320000000007</v>
      </c>
      <c r="R199" s="19">
        <f t="shared" si="59"/>
        <v>-10879.977974393856</v>
      </c>
    </row>
    <row r="200" spans="1:18" ht="12.75">
      <c r="A200" s="10">
        <v>1</v>
      </c>
      <c r="B200" s="9">
        <f t="shared" si="52"/>
        <v>43101</v>
      </c>
      <c r="C200" s="124">
        <f t="shared" si="67"/>
        <v>43136</v>
      </c>
      <c r="D200" s="124">
        <f t="shared" si="67"/>
        <v>43151</v>
      </c>
      <c r="E200" s="60" t="s">
        <v>17</v>
      </c>
      <c r="F200" s="10">
        <v>9</v>
      </c>
      <c r="G200" s="194">
        <v>104</v>
      </c>
      <c r="H200" s="126">
        <f t="shared" si="50"/>
        <v>1817.43</v>
      </c>
      <c r="I200" s="126">
        <f t="shared" si="66"/>
        <v>1393.46</v>
      </c>
      <c r="J200" s="28">
        <f t="shared" si="53"/>
        <v>144919.84</v>
      </c>
      <c r="K200" s="29">
        <f t="shared" si="69"/>
        <v>189012.72</v>
      </c>
      <c r="L200" s="30">
        <f t="shared" si="68"/>
        <v>-44092.880000000005</v>
      </c>
      <c r="M200" s="27">
        <f t="shared" si="54"/>
        <v>-2175.1929106575963</v>
      </c>
      <c r="N200" s="19">
        <f t="shared" si="55"/>
        <v>-46268.072910657604</v>
      </c>
      <c r="O200" s="27">
        <f t="shared" si="56"/>
        <v>1637.91</v>
      </c>
      <c r="P200" s="27">
        <f t="shared" si="57"/>
        <v>170342.64</v>
      </c>
      <c r="Q200" s="27">
        <f t="shared" si="58"/>
        <v>-18670.079999999987</v>
      </c>
      <c r="R200" s="19">
        <f t="shared" si="59"/>
        <v>-27597.992910657616</v>
      </c>
    </row>
    <row r="201" spans="1:18" ht="12.75">
      <c r="A201" s="3">
        <v>2</v>
      </c>
      <c r="B201" s="9">
        <f t="shared" si="52"/>
        <v>43132</v>
      </c>
      <c r="C201" s="125">
        <f t="shared" si="67"/>
        <v>43164</v>
      </c>
      <c r="D201" s="125">
        <f t="shared" si="67"/>
        <v>43179</v>
      </c>
      <c r="E201" s="35" t="s">
        <v>17</v>
      </c>
      <c r="F201" s="3">
        <v>9</v>
      </c>
      <c r="G201" s="194">
        <v>98</v>
      </c>
      <c r="H201" s="126">
        <f t="shared" si="50"/>
        <v>1817.43</v>
      </c>
      <c r="I201" s="126">
        <f t="shared" si="66"/>
        <v>1393.46</v>
      </c>
      <c r="J201" s="28">
        <f t="shared" si="53"/>
        <v>136559.08000000002</v>
      </c>
      <c r="K201" s="29">
        <f t="shared" si="69"/>
        <v>178108.14</v>
      </c>
      <c r="L201" s="30">
        <f t="shared" si="68"/>
        <v>-41549.06</v>
      </c>
      <c r="M201" s="27">
        <f t="shared" si="54"/>
        <v>-2049.7010119658116</v>
      </c>
      <c r="N201" s="19">
        <f t="shared" si="55"/>
        <v>-43598.761011965806</v>
      </c>
      <c r="O201" s="27">
        <f t="shared" si="56"/>
        <v>1637.91</v>
      </c>
      <c r="P201" s="27">
        <f t="shared" si="57"/>
        <v>160515.18000000002</v>
      </c>
      <c r="Q201" s="27">
        <f t="shared" si="58"/>
        <v>-17592.959999999992</v>
      </c>
      <c r="R201" s="19">
        <f t="shared" si="59"/>
        <v>-26005.801011965814</v>
      </c>
    </row>
    <row r="202" spans="1:18" ht="12.75">
      <c r="A202" s="3">
        <v>3</v>
      </c>
      <c r="B202" s="9">
        <f t="shared" si="52"/>
        <v>43160</v>
      </c>
      <c r="C202" s="125">
        <f t="shared" si="67"/>
        <v>43194</v>
      </c>
      <c r="D202" s="125">
        <f t="shared" si="67"/>
        <v>43209</v>
      </c>
      <c r="E202" s="35" t="s">
        <v>17</v>
      </c>
      <c r="F202" s="3">
        <v>9</v>
      </c>
      <c r="G202" s="194">
        <v>90</v>
      </c>
      <c r="H202" s="126">
        <f t="shared" si="50"/>
        <v>1817.43</v>
      </c>
      <c r="I202" s="126">
        <f t="shared" si="66"/>
        <v>1393.46</v>
      </c>
      <c r="J202" s="28">
        <f t="shared" si="53"/>
        <v>125411.40000000001</v>
      </c>
      <c r="K202" s="29">
        <f t="shared" si="69"/>
        <v>163568.7</v>
      </c>
      <c r="L202" s="30">
        <f>+J202-K202</f>
        <v>-38157.3</v>
      </c>
      <c r="M202" s="27">
        <f t="shared" si="54"/>
        <v>-1882.378480376766</v>
      </c>
      <c r="N202" s="19">
        <f t="shared" si="55"/>
        <v>-40039.678480376766</v>
      </c>
      <c r="O202" s="27">
        <f t="shared" si="56"/>
        <v>1637.91</v>
      </c>
      <c r="P202" s="27">
        <f t="shared" si="57"/>
        <v>147411.9</v>
      </c>
      <c r="Q202" s="27">
        <f t="shared" si="58"/>
        <v>-16156.800000000017</v>
      </c>
      <c r="R202" s="19">
        <f t="shared" si="59"/>
        <v>-23882.87848037675</v>
      </c>
    </row>
    <row r="203" spans="1:18" ht="12.75">
      <c r="A203" s="10">
        <v>4</v>
      </c>
      <c r="B203" s="9">
        <f t="shared" si="52"/>
        <v>43191</v>
      </c>
      <c r="C203" s="125">
        <f t="shared" si="67"/>
        <v>43223</v>
      </c>
      <c r="D203" s="125">
        <f t="shared" si="67"/>
        <v>43238</v>
      </c>
      <c r="E203" s="35" t="s">
        <v>17</v>
      </c>
      <c r="F203" s="3">
        <v>9</v>
      </c>
      <c r="G203" s="194">
        <v>61</v>
      </c>
      <c r="H203" s="126">
        <f t="shared" si="50"/>
        <v>1817.43</v>
      </c>
      <c r="I203" s="126">
        <f t="shared" si="66"/>
        <v>1393.46</v>
      </c>
      <c r="J203" s="28">
        <f t="shared" si="53"/>
        <v>85001.06</v>
      </c>
      <c r="K203" s="29">
        <f t="shared" si="69"/>
        <v>110863.23000000001</v>
      </c>
      <c r="L203" s="30">
        <f aca="true" t="shared" si="70" ref="L203:L211">+J203-K203</f>
        <v>-25862.170000000013</v>
      </c>
      <c r="M203" s="27">
        <f t="shared" si="54"/>
        <v>-1275.8343033664748</v>
      </c>
      <c r="N203" s="19">
        <f t="shared" si="55"/>
        <v>-27138.004303366488</v>
      </c>
      <c r="O203" s="27">
        <f t="shared" si="56"/>
        <v>1637.91</v>
      </c>
      <c r="P203" s="27">
        <f t="shared" si="57"/>
        <v>99912.51000000001</v>
      </c>
      <c r="Q203" s="27">
        <f t="shared" si="58"/>
        <v>-10950.720000000001</v>
      </c>
      <c r="R203" s="19">
        <f t="shared" si="59"/>
        <v>-16187.284303366487</v>
      </c>
    </row>
    <row r="204" spans="1:18" ht="12.75">
      <c r="A204" s="3">
        <v>5</v>
      </c>
      <c r="B204" s="9">
        <f t="shared" si="52"/>
        <v>43221</v>
      </c>
      <c r="C204" s="125">
        <f t="shared" si="67"/>
        <v>43256</v>
      </c>
      <c r="D204" s="125">
        <f t="shared" si="67"/>
        <v>43271</v>
      </c>
      <c r="E204" s="20" t="s">
        <v>17</v>
      </c>
      <c r="F204" s="3">
        <v>9</v>
      </c>
      <c r="G204" s="194">
        <v>102</v>
      </c>
      <c r="H204" s="126">
        <f t="shared" si="50"/>
        <v>1817.43</v>
      </c>
      <c r="I204" s="126">
        <f t="shared" si="66"/>
        <v>1393.46</v>
      </c>
      <c r="J204" s="28">
        <f t="shared" si="53"/>
        <v>142132.92</v>
      </c>
      <c r="K204" s="29">
        <f t="shared" si="69"/>
        <v>185377.86000000002</v>
      </c>
      <c r="L204" s="30">
        <f t="shared" si="70"/>
        <v>-43244.94</v>
      </c>
      <c r="M204" s="27">
        <f t="shared" si="54"/>
        <v>-2133.362277760335</v>
      </c>
      <c r="N204" s="19">
        <f t="shared" si="55"/>
        <v>-45378.30227776034</v>
      </c>
      <c r="O204" s="27">
        <f t="shared" si="56"/>
        <v>1637.91</v>
      </c>
      <c r="P204" s="27">
        <f t="shared" si="57"/>
        <v>167066.82</v>
      </c>
      <c r="Q204" s="27">
        <f t="shared" si="58"/>
        <v>-18311.040000000008</v>
      </c>
      <c r="R204" s="19">
        <f t="shared" si="59"/>
        <v>-27067.262277760332</v>
      </c>
    </row>
    <row r="205" spans="1:18" ht="12.75">
      <c r="A205" s="3">
        <v>6</v>
      </c>
      <c r="B205" s="9">
        <f t="shared" si="52"/>
        <v>43252</v>
      </c>
      <c r="C205" s="125">
        <f t="shared" si="67"/>
        <v>43286</v>
      </c>
      <c r="D205" s="125">
        <f t="shared" si="67"/>
        <v>43301</v>
      </c>
      <c r="E205" s="20" t="s">
        <v>17</v>
      </c>
      <c r="F205" s="3">
        <v>9</v>
      </c>
      <c r="G205" s="194">
        <v>106</v>
      </c>
      <c r="H205" s="126">
        <f t="shared" si="50"/>
        <v>1817.43</v>
      </c>
      <c r="I205" s="126">
        <f t="shared" si="66"/>
        <v>1393.46</v>
      </c>
      <c r="J205" s="28">
        <f t="shared" si="53"/>
        <v>147706.76</v>
      </c>
      <c r="K205" s="29">
        <f t="shared" si="69"/>
        <v>192647.58000000002</v>
      </c>
      <c r="L205" s="39">
        <f t="shared" si="70"/>
        <v>-44940.82000000001</v>
      </c>
      <c r="M205" s="27">
        <f t="shared" si="54"/>
        <v>-2217.023543554858</v>
      </c>
      <c r="N205" s="19">
        <f t="shared" si="55"/>
        <v>-47157.84354355487</v>
      </c>
      <c r="O205" s="27">
        <f t="shared" si="56"/>
        <v>1637.91</v>
      </c>
      <c r="P205" s="27">
        <f t="shared" si="57"/>
        <v>173618.46000000002</v>
      </c>
      <c r="Q205" s="27">
        <f t="shared" si="58"/>
        <v>-19029.119999999995</v>
      </c>
      <c r="R205" s="19">
        <f t="shared" si="59"/>
        <v>-28128.723543554872</v>
      </c>
    </row>
    <row r="206" spans="1:18" ht="12.75">
      <c r="A206" s="10">
        <v>7</v>
      </c>
      <c r="B206" s="9">
        <f t="shared" si="52"/>
        <v>43282</v>
      </c>
      <c r="C206" s="125">
        <f t="shared" si="67"/>
        <v>43315</v>
      </c>
      <c r="D206" s="125">
        <f t="shared" si="67"/>
        <v>43330</v>
      </c>
      <c r="E206" s="20" t="s">
        <v>17</v>
      </c>
      <c r="F206" s="3">
        <v>9</v>
      </c>
      <c r="G206" s="194">
        <v>108</v>
      </c>
      <c r="H206" s="126">
        <f t="shared" si="50"/>
        <v>1817.43</v>
      </c>
      <c r="I206" s="126">
        <f t="shared" si="66"/>
        <v>1393.46</v>
      </c>
      <c r="J206" s="28">
        <f t="shared" si="53"/>
        <v>150493.68</v>
      </c>
      <c r="K206" s="37">
        <f t="shared" si="69"/>
        <v>196282.44</v>
      </c>
      <c r="L206" s="39">
        <f t="shared" si="70"/>
        <v>-45788.76000000001</v>
      </c>
      <c r="M206" s="27">
        <f t="shared" si="54"/>
        <v>-2258.854176452119</v>
      </c>
      <c r="N206" s="19">
        <f t="shared" si="55"/>
        <v>-48047.61417645213</v>
      </c>
      <c r="O206" s="27">
        <f t="shared" si="56"/>
        <v>1637.91</v>
      </c>
      <c r="P206" s="27">
        <f t="shared" si="57"/>
        <v>176894.28</v>
      </c>
      <c r="Q206" s="27">
        <f t="shared" si="58"/>
        <v>-19388.160000000003</v>
      </c>
      <c r="R206" s="19">
        <f t="shared" si="59"/>
        <v>-28659.454176452127</v>
      </c>
    </row>
    <row r="207" spans="1:18" ht="12.75">
      <c r="A207" s="3">
        <v>8</v>
      </c>
      <c r="B207" s="9">
        <f t="shared" si="52"/>
        <v>43313</v>
      </c>
      <c r="C207" s="125">
        <f t="shared" si="67"/>
        <v>43348</v>
      </c>
      <c r="D207" s="125">
        <f t="shared" si="67"/>
        <v>43363</v>
      </c>
      <c r="E207" s="20" t="s">
        <v>17</v>
      </c>
      <c r="F207" s="3">
        <v>9</v>
      </c>
      <c r="G207" s="194">
        <v>104</v>
      </c>
      <c r="H207" s="126">
        <f t="shared" si="50"/>
        <v>1817.43</v>
      </c>
      <c r="I207" s="126">
        <f t="shared" si="66"/>
        <v>1393.46</v>
      </c>
      <c r="J207" s="28">
        <f t="shared" si="53"/>
        <v>144919.84</v>
      </c>
      <c r="K207" s="37">
        <f t="shared" si="69"/>
        <v>189012.72</v>
      </c>
      <c r="L207" s="39">
        <f t="shared" si="70"/>
        <v>-44092.880000000005</v>
      </c>
      <c r="M207" s="27">
        <f t="shared" si="54"/>
        <v>-2175.1929106575963</v>
      </c>
      <c r="N207" s="19">
        <f t="shared" si="55"/>
        <v>-46268.072910657604</v>
      </c>
      <c r="O207" s="27">
        <f t="shared" si="56"/>
        <v>1637.91</v>
      </c>
      <c r="P207" s="27">
        <f t="shared" si="57"/>
        <v>170342.64</v>
      </c>
      <c r="Q207" s="27">
        <f t="shared" si="58"/>
        <v>-18670.079999999987</v>
      </c>
      <c r="R207" s="19">
        <f t="shared" si="59"/>
        <v>-27597.992910657616</v>
      </c>
    </row>
    <row r="208" spans="1:18" ht="12.75">
      <c r="A208" s="3">
        <v>9</v>
      </c>
      <c r="B208" s="9">
        <f t="shared" si="52"/>
        <v>43344</v>
      </c>
      <c r="C208" s="125">
        <f t="shared" si="67"/>
        <v>43376</v>
      </c>
      <c r="D208" s="125">
        <f t="shared" si="67"/>
        <v>43391</v>
      </c>
      <c r="E208" s="20" t="s">
        <v>17</v>
      </c>
      <c r="F208" s="3">
        <v>9</v>
      </c>
      <c r="G208" s="194">
        <v>110</v>
      </c>
      <c r="H208" s="126">
        <f t="shared" si="50"/>
        <v>1817.43</v>
      </c>
      <c r="I208" s="126">
        <f t="shared" si="66"/>
        <v>1393.46</v>
      </c>
      <c r="J208" s="28">
        <f t="shared" si="53"/>
        <v>153280.6</v>
      </c>
      <c r="K208" s="37">
        <f t="shared" si="69"/>
        <v>199917.30000000002</v>
      </c>
      <c r="L208" s="39">
        <f t="shared" si="70"/>
        <v>-46636.70000000001</v>
      </c>
      <c r="M208" s="27">
        <f t="shared" si="54"/>
        <v>-2300.684809349381</v>
      </c>
      <c r="N208" s="19">
        <f t="shared" si="55"/>
        <v>-48937.384809349394</v>
      </c>
      <c r="O208" s="27">
        <f t="shared" si="56"/>
        <v>1637.91</v>
      </c>
      <c r="P208" s="27">
        <f t="shared" si="57"/>
        <v>180170.1</v>
      </c>
      <c r="Q208" s="27">
        <f t="shared" si="58"/>
        <v>-19747.20000000001</v>
      </c>
      <c r="R208" s="19">
        <f t="shared" si="59"/>
        <v>-29190.184809349383</v>
      </c>
    </row>
    <row r="209" spans="1:18" ht="12.75">
      <c r="A209" s="10">
        <v>10</v>
      </c>
      <c r="B209" s="9">
        <f t="shared" si="52"/>
        <v>43374</v>
      </c>
      <c r="C209" s="125">
        <f t="shared" si="67"/>
        <v>43409</v>
      </c>
      <c r="D209" s="125">
        <f t="shared" si="67"/>
        <v>43424</v>
      </c>
      <c r="E209" s="20" t="s">
        <v>17</v>
      </c>
      <c r="F209" s="3">
        <v>9</v>
      </c>
      <c r="G209" s="194">
        <v>109</v>
      </c>
      <c r="H209" s="126">
        <f t="shared" si="50"/>
        <v>1817.43</v>
      </c>
      <c r="I209" s="126">
        <f t="shared" si="66"/>
        <v>1393.46</v>
      </c>
      <c r="J209" s="28">
        <f t="shared" si="53"/>
        <v>151887.14</v>
      </c>
      <c r="K209" s="37">
        <f t="shared" si="69"/>
        <v>198099.87</v>
      </c>
      <c r="L209" s="39">
        <f t="shared" si="70"/>
        <v>-46212.72999999998</v>
      </c>
      <c r="M209" s="27">
        <f t="shared" si="54"/>
        <v>-2279.76949290075</v>
      </c>
      <c r="N209" s="19">
        <f t="shared" si="55"/>
        <v>-48492.49949290073</v>
      </c>
      <c r="O209" s="27">
        <f t="shared" si="56"/>
        <v>1637.91</v>
      </c>
      <c r="P209" s="27">
        <f t="shared" si="57"/>
        <v>178532.19</v>
      </c>
      <c r="Q209" s="27">
        <f t="shared" si="58"/>
        <v>-19567.679999999993</v>
      </c>
      <c r="R209" s="19">
        <f t="shared" si="59"/>
        <v>-28924.819492900737</v>
      </c>
    </row>
    <row r="210" spans="1:18" ht="12.75">
      <c r="A210" s="3">
        <v>11</v>
      </c>
      <c r="B210" s="9">
        <f t="shared" si="52"/>
        <v>43405</v>
      </c>
      <c r="C210" s="125">
        <f t="shared" si="67"/>
        <v>43439</v>
      </c>
      <c r="D210" s="125">
        <f t="shared" si="67"/>
        <v>43454</v>
      </c>
      <c r="E210" s="20" t="s">
        <v>17</v>
      </c>
      <c r="F210" s="3">
        <v>9</v>
      </c>
      <c r="G210" s="194">
        <v>101</v>
      </c>
      <c r="H210" s="126">
        <f t="shared" si="50"/>
        <v>1817.43</v>
      </c>
      <c r="I210" s="126">
        <f t="shared" si="66"/>
        <v>1393.46</v>
      </c>
      <c r="J210" s="28">
        <f t="shared" si="53"/>
        <v>140739.46</v>
      </c>
      <c r="K210" s="37">
        <f>+$G210*H210</f>
        <v>183560.43</v>
      </c>
      <c r="L210" s="39">
        <f t="shared" si="70"/>
        <v>-42820.97</v>
      </c>
      <c r="M210" s="27">
        <f t="shared" si="54"/>
        <v>-2112.446961311704</v>
      </c>
      <c r="N210" s="19">
        <f t="shared" si="55"/>
        <v>-44933.416961311705</v>
      </c>
      <c r="O210" s="27">
        <f t="shared" si="56"/>
        <v>1637.91</v>
      </c>
      <c r="P210" s="27">
        <f t="shared" si="57"/>
        <v>165428.91</v>
      </c>
      <c r="Q210" s="27">
        <f t="shared" si="58"/>
        <v>-18131.51999999999</v>
      </c>
      <c r="R210" s="19">
        <f t="shared" si="59"/>
        <v>-26801.896961311715</v>
      </c>
    </row>
    <row r="211" spans="1:18" s="34" customFormat="1" ht="12.75">
      <c r="A211" s="3">
        <v>12</v>
      </c>
      <c r="B211" s="44">
        <f t="shared" si="52"/>
        <v>43435</v>
      </c>
      <c r="C211" s="136">
        <f t="shared" si="67"/>
        <v>43468</v>
      </c>
      <c r="D211" s="136">
        <f t="shared" si="67"/>
        <v>43483</v>
      </c>
      <c r="E211" s="45" t="s">
        <v>17</v>
      </c>
      <c r="F211" s="42">
        <v>9</v>
      </c>
      <c r="G211" s="195">
        <v>102</v>
      </c>
      <c r="H211" s="126">
        <f t="shared" si="50"/>
        <v>1817.43</v>
      </c>
      <c r="I211" s="127">
        <f t="shared" si="66"/>
        <v>1393.46</v>
      </c>
      <c r="J211" s="46">
        <f t="shared" si="53"/>
        <v>142132.92</v>
      </c>
      <c r="K211" s="47">
        <f>+$G211*H211</f>
        <v>185377.86000000002</v>
      </c>
      <c r="L211" s="48">
        <f t="shared" si="70"/>
        <v>-43244.94</v>
      </c>
      <c r="M211" s="46">
        <f t="shared" si="54"/>
        <v>-2133.362277760335</v>
      </c>
      <c r="N211" s="19">
        <f t="shared" si="55"/>
        <v>-45378.30227776034</v>
      </c>
      <c r="O211" s="46">
        <f t="shared" si="56"/>
        <v>1637.91</v>
      </c>
      <c r="P211" s="226">
        <f t="shared" si="57"/>
        <v>167066.82</v>
      </c>
      <c r="Q211" s="27">
        <f t="shared" si="58"/>
        <v>-18311.040000000008</v>
      </c>
      <c r="R211" s="19">
        <f t="shared" si="59"/>
        <v>-27067.262277760332</v>
      </c>
    </row>
    <row r="212" spans="7:18" ht="12.75">
      <c r="G212" s="196">
        <f>SUM(G20:G211)</f>
        <v>102517</v>
      </c>
      <c r="H212" s="150"/>
      <c r="I212" s="150"/>
      <c r="J212" s="150">
        <f>SUM(J20:J211)</f>
        <v>142853338.8199999</v>
      </c>
      <c r="K212" s="150">
        <f>SUM(K20:K211)</f>
        <v>186317471.31000018</v>
      </c>
      <c r="L212" s="150">
        <f>SUM(L20:L211)</f>
        <v>-43464132.48999995</v>
      </c>
      <c r="M212" s="150">
        <f>SUM(M20:M211)</f>
        <v>-2144175.496364277</v>
      </c>
      <c r="N212" s="150"/>
      <c r="O212" s="150"/>
      <c r="P212" s="150">
        <f>SUM(P20:P211)</f>
        <v>167913619.46999997</v>
      </c>
      <c r="Q212" s="150"/>
      <c r="R212" s="227">
        <f>SUM(R20:R211)</f>
        <v>-27204456.146364275</v>
      </c>
    </row>
    <row r="213" spans="16:17" ht="12.75">
      <c r="P213" s="150"/>
      <c r="Q213" s="150"/>
    </row>
    <row r="220" spans="4:17" ht="12.75">
      <c r="D220"/>
      <c r="F220"/>
      <c r="G220"/>
      <c r="H220"/>
      <c r="I220"/>
      <c r="J220"/>
      <c r="K220"/>
      <c r="L220"/>
      <c r="M220"/>
      <c r="N220"/>
      <c r="O220"/>
      <c r="P220"/>
      <c r="Q220"/>
    </row>
  </sheetData>
  <sheetProtection/>
  <mergeCells count="4">
    <mergeCell ref="G2:H2"/>
    <mergeCell ref="G3:H3"/>
    <mergeCell ref="G7:H7"/>
    <mergeCell ref="G8:H8"/>
  </mergeCells>
  <printOptions/>
  <pageMargins left="0.5" right="0.5" top="1.05" bottom="1" header="0.31" footer="0.5"/>
  <pageSetup cellComments="asDisplayed" fitToHeight="0" fitToWidth="2" horizontalDpi="600" verticalDpi="600" orientation="landscape" scale="91" r:id="rId3"/>
  <headerFooter alignWithMargins="0">
    <oddHeader>&amp;R&amp;F  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Williamson</dc:creator>
  <cp:keywords>AEP Internal</cp:keywords>
  <dc:description/>
  <cp:lastModifiedBy>s177040</cp:lastModifiedBy>
  <cp:lastPrinted>2018-05-15T12:29:53Z</cp:lastPrinted>
  <dcterms:created xsi:type="dcterms:W3CDTF">2009-09-04T18:19:13Z</dcterms:created>
  <dcterms:modified xsi:type="dcterms:W3CDTF">2019-05-28T13:02:03Z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36af487e-f446-4740-a62b-40554c497e05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